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130000_まちなみ整備部\131400 住宅政策課\81　新たな住宅セーフティネット制度\08 家賃低廉化\R7年度\02　住戸募集\令和7年11月募集\ホームページ\"/>
    </mc:Choice>
  </mc:AlternateContent>
  <xr:revisionPtr revIDLastSave="0" documentId="13_ncr:1_{98B81997-08C0-4BF5-98B7-A18B8A2B0E75}" xr6:coauthVersionLast="47" xr6:coauthVersionMax="47" xr10:uidLastSave="{00000000-0000-0000-0000-000000000000}"/>
  <workbookProtection workbookAlgorithmName="SHA-512" workbookHashValue="+mZjuC+KNeVANatwrYOT3CdRwAw8JWufcGydf7TqIx9QIM+HpGj1kh99QuM63JiedSR/+Pavv/XuLdiDuVrK8w==" workbookSaltValue="DL42oKp66G8H6uAF3D84ow==" workbookSpinCount="100000" lockStructure="1"/>
  <bookViews>
    <workbookView xWindow="-120" yWindow="-120" windowWidth="29040" windowHeight="15720" xr2:uid="{00000000-000D-0000-FFFF-FFFF00000000}"/>
  </bookViews>
  <sheets>
    <sheet name="計算シート" sheetId="1" r:id="rId1"/>
    <sheet name="乗客人数" sheetId="2" state="hidden" r:id="rId2"/>
    <sheet name="データ" sheetId="3" state="hidden" r:id="rId3"/>
    <sheet name="計算結果" sheetId="4" state="hidden" r:id="rId4"/>
    <sheet name="計算結果 (2)" sheetId="5" state="hidden" r:id="rId5"/>
  </sheets>
  <definedNames>
    <definedName name="_xlnm._FilterDatabase" localSheetId="1" hidden="1">乗客人数!$B$2:$R$61</definedName>
    <definedName name="JR">乗客人数!$P$3:$P$26</definedName>
    <definedName name="_xlnm.Print_Area" localSheetId="0">計算シート!$A$1:$J$29</definedName>
    <definedName name="_xlnm.Print_Area" localSheetId="3">計算結果!$A$1:$N$36</definedName>
    <definedName name="_xlnm.Print_Area" localSheetId="4">'計算結果 (2)'!$A$1:$O$15</definedName>
    <definedName name="バス停距離">データ!$B$34:$B$38</definedName>
    <definedName name="駅までの交通手段・距離">データ!$B$22:$B$29</definedName>
    <definedName name="京王線">乗客人数!$Q$3:$Q$23</definedName>
    <definedName name="小田急">乗客人数!$R$3:$R$6</definedName>
    <definedName name="多摩モノレール">乗客人数!$O$3:$O$12</definedName>
    <definedName name="路線名">乗客人数!$O$2:$R$2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C2" i="5"/>
  <c r="J11" i="3"/>
  <c r="J20" i="3" s="1"/>
  <c r="J29" i="3" s="1"/>
  <c r="J38" i="3" s="1"/>
  <c r="J47" i="3" s="1"/>
  <c r="J56" i="3" s="1"/>
  <c r="J65" i="3" s="1"/>
  <c r="J74" i="3" s="1"/>
  <c r="J83" i="3" s="1"/>
  <c r="J92" i="3" s="1"/>
  <c r="G14" i="5"/>
  <c r="G11" i="5"/>
  <c r="G8" i="5"/>
  <c r="G5" i="5"/>
  <c r="J85" i="3" l="1"/>
  <c r="J94" i="3"/>
  <c r="A34" i="4" l="1"/>
  <c r="G35" i="4"/>
  <c r="G32" i="4"/>
  <c r="J96" i="3" l="1"/>
  <c r="K96" i="3" s="1"/>
  <c r="K94" i="3"/>
  <c r="J99" i="3" l="1"/>
  <c r="I35" i="4" s="1"/>
  <c r="A31" i="4"/>
  <c r="J87" i="3" l="1"/>
  <c r="K87" i="3" s="1"/>
  <c r="K85" i="3"/>
  <c r="A4" i="4"/>
  <c r="A7" i="4"/>
  <c r="A10" i="4"/>
  <c r="A13" i="4"/>
  <c r="A16" i="4"/>
  <c r="A19" i="4"/>
  <c r="A22" i="4"/>
  <c r="A25" i="4"/>
  <c r="A28" i="4"/>
  <c r="J90" i="3" l="1"/>
  <c r="I32" i="4" s="1"/>
  <c r="G29" i="4"/>
  <c r="G26" i="4"/>
  <c r="G23" i="4"/>
  <c r="G20" i="4"/>
  <c r="G17" i="4"/>
  <c r="G14" i="4"/>
  <c r="G11" i="4"/>
  <c r="G8" i="4"/>
  <c r="G5" i="4"/>
  <c r="J78" i="3"/>
  <c r="K78" i="3" s="1"/>
  <c r="J76" i="3"/>
  <c r="K76" i="3" s="1"/>
  <c r="J69" i="3"/>
  <c r="K69" i="3" s="1"/>
  <c r="J67" i="3"/>
  <c r="K67" i="3" s="1"/>
  <c r="J60" i="3"/>
  <c r="K60" i="3" s="1"/>
  <c r="J58" i="3"/>
  <c r="K58" i="3" s="1"/>
  <c r="J51" i="3"/>
  <c r="K51" i="3" s="1"/>
  <c r="J49" i="3"/>
  <c r="K49" i="3" s="1"/>
  <c r="J42" i="3"/>
  <c r="K42" i="3" s="1"/>
  <c r="J40" i="3"/>
  <c r="K40" i="3" s="1"/>
  <c r="J33" i="3"/>
  <c r="K33" i="3" s="1"/>
  <c r="J31" i="3"/>
  <c r="K31" i="3" s="1"/>
  <c r="J24" i="3"/>
  <c r="K24" i="3" s="1"/>
  <c r="J22" i="3"/>
  <c r="K22" i="3" s="1"/>
  <c r="J15" i="3"/>
  <c r="K15" i="3" s="1"/>
  <c r="J13" i="3"/>
  <c r="K13" i="3" s="1"/>
  <c r="J6" i="3"/>
  <c r="K6" i="3" s="1"/>
  <c r="J4" i="3"/>
  <c r="K4" i="3" s="1"/>
  <c r="J72" i="3" l="1"/>
  <c r="I26" i="4" s="1"/>
  <c r="J45" i="3"/>
  <c r="I17" i="4" s="1"/>
  <c r="J27" i="3"/>
  <c r="J81" i="3"/>
  <c r="I29" i="4" s="1"/>
  <c r="J63" i="3"/>
  <c r="I23" i="4" s="1"/>
  <c r="J54" i="3"/>
  <c r="I20" i="4" s="1"/>
  <c r="J36" i="3"/>
  <c r="J18" i="3"/>
  <c r="J9" i="3"/>
  <c r="F34" i="3"/>
  <c r="E34" i="3"/>
  <c r="F22" i="3"/>
  <c r="E22" i="3"/>
  <c r="I14" i="5" l="1"/>
  <c r="I8" i="5"/>
  <c r="I11" i="5"/>
  <c r="I14" i="4"/>
  <c r="I11" i="4"/>
  <c r="I8" i="4"/>
  <c r="I5" i="4"/>
  <c r="I5" i="5"/>
  <c r="P33" i="2"/>
  <c r="P34" i="2"/>
  <c r="P32" i="2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3" i="2"/>
  <c r="D4" i="3" l="1"/>
  <c r="D22" i="3"/>
  <c r="D34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J58" i="2" l="1"/>
  <c r="J54" i="2"/>
  <c r="J46" i="2"/>
  <c r="J38" i="2"/>
  <c r="J30" i="2"/>
  <c r="J22" i="2"/>
  <c r="J14" i="2"/>
  <c r="J6" i="2"/>
  <c r="J57" i="2"/>
  <c r="J53" i="2"/>
  <c r="J45" i="2"/>
  <c r="J37" i="2"/>
  <c r="J29" i="2"/>
  <c r="J21" i="2"/>
  <c r="J13" i="2"/>
  <c r="J5" i="2"/>
  <c r="J60" i="2"/>
  <c r="J56" i="2"/>
  <c r="J52" i="2"/>
  <c r="J48" i="2"/>
  <c r="J44" i="2"/>
  <c r="J40" i="2"/>
  <c r="J36" i="2"/>
  <c r="J32" i="2"/>
  <c r="J28" i="2"/>
  <c r="J24" i="2"/>
  <c r="O33" i="2"/>
  <c r="D15" i="3"/>
  <c r="E15" i="3" s="1"/>
  <c r="J20" i="2"/>
  <c r="J16" i="2"/>
  <c r="J12" i="2"/>
  <c r="J8" i="2"/>
  <c r="J4" i="2"/>
  <c r="J50" i="2"/>
  <c r="J42" i="2"/>
  <c r="J34" i="2"/>
  <c r="J26" i="2"/>
  <c r="J18" i="2"/>
  <c r="J10" i="2"/>
  <c r="J61" i="2"/>
  <c r="J49" i="2"/>
  <c r="J41" i="2"/>
  <c r="J33" i="2"/>
  <c r="J25" i="2"/>
  <c r="D16" i="3"/>
  <c r="E16" i="3" s="1"/>
  <c r="O34" i="2"/>
  <c r="J17" i="2"/>
  <c r="J9" i="2"/>
  <c r="J59" i="2"/>
  <c r="J55" i="2"/>
  <c r="J51" i="2"/>
  <c r="J47" i="2"/>
  <c r="J43" i="2"/>
  <c r="J39" i="2"/>
  <c r="J35" i="2"/>
  <c r="J31" i="2"/>
  <c r="J27" i="2"/>
  <c r="J23" i="2"/>
  <c r="J19" i="2"/>
  <c r="J15" i="2"/>
  <c r="J11" i="2"/>
  <c r="J7" i="2"/>
  <c r="J3" i="2"/>
  <c r="O32" i="2"/>
  <c r="D14" i="3"/>
  <c r="E14" i="3" s="1"/>
  <c r="D49" i="3" l="1"/>
  <c r="E49" i="3" s="1"/>
  <c r="D46" i="3"/>
  <c r="E46" i="3" s="1"/>
  <c r="D43" i="3"/>
  <c r="D52" i="3" l="1"/>
  <c r="E52" i="3" s="1"/>
  <c r="E43" i="3"/>
  <c r="K35" i="4" l="1"/>
  <c r="M35" i="4" s="1"/>
  <c r="K14" i="5"/>
  <c r="M14" i="5" s="1"/>
  <c r="K11" i="5"/>
  <c r="M11" i="5" s="1"/>
  <c r="K8" i="5"/>
  <c r="M8" i="5" s="1"/>
  <c r="K5" i="5"/>
  <c r="M5" i="5" s="1"/>
  <c r="C18" i="5" s="1"/>
  <c r="K32" i="4"/>
  <c r="M32" i="4" s="1"/>
  <c r="K23" i="4"/>
  <c r="M23" i="4" s="1"/>
  <c r="K11" i="4"/>
  <c r="M11" i="4" s="1"/>
  <c r="K20" i="4"/>
  <c r="M20" i="4" s="1"/>
  <c r="K8" i="4"/>
  <c r="M8" i="4" s="1"/>
  <c r="K29" i="4"/>
  <c r="M29" i="4" s="1"/>
  <c r="K17" i="4"/>
  <c r="M17" i="4" s="1"/>
  <c r="K5" i="4"/>
  <c r="M5" i="4" s="1"/>
  <c r="C38" i="4" s="1"/>
  <c r="K26" i="4"/>
  <c r="M26" i="4" s="1"/>
  <c r="K14" i="4"/>
  <c r="M14" i="4" s="1"/>
</calcChain>
</file>

<file path=xl/sharedStrings.xml><?xml version="1.0" encoding="utf-8"?>
<sst xmlns="http://schemas.openxmlformats.org/spreadsheetml/2006/main" count="604" uniqueCount="174">
  <si>
    <t>家賃算定基礎額</t>
    <rPh sb="0" eb="2">
      <t>ヤチン</t>
    </rPh>
    <rPh sb="2" eb="4">
      <t>サンテイ</t>
    </rPh>
    <rPh sb="4" eb="6">
      <t>キソ</t>
    </rPh>
    <rPh sb="6" eb="7">
      <t>ガク</t>
    </rPh>
    <phoneticPr fontId="2"/>
  </si>
  <si>
    <t>３．１の住戸の市営住宅家賃相当額の最低額は、以下のとおりです。</t>
    <rPh sb="4" eb="6">
      <t>ジュウコ</t>
    </rPh>
    <rPh sb="7" eb="9">
      <t>シエイ</t>
    </rPh>
    <rPh sb="9" eb="11">
      <t>ジュウタク</t>
    </rPh>
    <rPh sb="11" eb="13">
      <t>ヤチン</t>
    </rPh>
    <rPh sb="13" eb="15">
      <t>ソウトウ</t>
    </rPh>
    <rPh sb="15" eb="16">
      <t>ガク</t>
    </rPh>
    <rPh sb="17" eb="20">
      <t>サイテイガク</t>
    </rPh>
    <rPh sb="22" eb="24">
      <t>イカ</t>
    </rPh>
    <phoneticPr fontId="2"/>
  </si>
  <si>
    <t>駅から住宅までの距離が1,000ｍ以内</t>
    <rPh sb="0" eb="1">
      <t>エキ</t>
    </rPh>
    <rPh sb="3" eb="5">
      <t>ジュウタク</t>
    </rPh>
    <rPh sb="8" eb="10">
      <t>キョリ</t>
    </rPh>
    <rPh sb="17" eb="19">
      <t>イナイ</t>
    </rPh>
    <phoneticPr fontId="2"/>
  </si>
  <si>
    <t>徒歩（750ｍ以下）</t>
    <rPh sb="0" eb="2">
      <t>トホ</t>
    </rPh>
    <rPh sb="7" eb="9">
      <t>イカ</t>
    </rPh>
    <phoneticPr fontId="2"/>
  </si>
  <si>
    <t>月</t>
    <rPh sb="0" eb="1">
      <t>ゲツ</t>
    </rPh>
    <phoneticPr fontId="2"/>
  </si>
  <si>
    <t>年（西暦）</t>
    <rPh sb="0" eb="1">
      <t>ネン</t>
    </rPh>
    <rPh sb="2" eb="4">
      <t>セイレキ</t>
    </rPh>
    <phoneticPr fontId="2"/>
  </si>
  <si>
    <t>床面積［㎡］</t>
    <rPh sb="0" eb="1">
      <t>ユカ</t>
    </rPh>
    <rPh sb="1" eb="3">
      <t>メンセキ</t>
    </rPh>
    <phoneticPr fontId="2"/>
  </si>
  <si>
    <t>最寄のバス停
までの距離</t>
    <rPh sb="0" eb="2">
      <t>モヨリ</t>
    </rPh>
    <phoneticPr fontId="2"/>
  </si>
  <si>
    <t>構造</t>
    <rPh sb="0" eb="2">
      <t>コウゾウ</t>
    </rPh>
    <phoneticPr fontId="2"/>
  </si>
  <si>
    <t>建設年月</t>
    <rPh sb="0" eb="2">
      <t>ケンセツ</t>
    </rPh>
    <rPh sb="2" eb="3">
      <t>ネン</t>
    </rPh>
    <rPh sb="3" eb="4">
      <t>ゲツ</t>
    </rPh>
    <phoneticPr fontId="2"/>
  </si>
  <si>
    <t>２．1の住戸情報を次の表へ入力・選択してください。</t>
    <rPh sb="4" eb="6">
      <t>ジュウコ</t>
    </rPh>
    <rPh sb="6" eb="8">
      <t>ジョウホウ</t>
    </rPh>
    <rPh sb="9" eb="10">
      <t>ツギ</t>
    </rPh>
    <rPh sb="11" eb="12">
      <t>オモテ</t>
    </rPh>
    <rPh sb="13" eb="15">
      <t>ニュウリョク</t>
    </rPh>
    <rPh sb="16" eb="18">
      <t>センタク</t>
    </rPh>
    <phoneticPr fontId="2"/>
  </si>
  <si>
    <t>建物名称（部屋番号）</t>
    <rPh sb="0" eb="2">
      <t>タテモノ</t>
    </rPh>
    <rPh sb="2" eb="4">
      <t>メイショウ</t>
    </rPh>
    <rPh sb="5" eb="7">
      <t>ヘヤ</t>
    </rPh>
    <rPh sb="7" eb="9">
      <t>バンゴウ</t>
    </rPh>
    <phoneticPr fontId="2"/>
  </si>
  <si>
    <t>所在地</t>
    <rPh sb="0" eb="3">
      <t>ショザイチ</t>
    </rPh>
    <phoneticPr fontId="2"/>
  </si>
  <si>
    <t>１．家賃低廉化補助対象住戸募集に申込む住戸を記入してください。</t>
    <rPh sb="2" eb="4">
      <t>ヤチン</t>
    </rPh>
    <rPh sb="4" eb="7">
      <t>テイレンカ</t>
    </rPh>
    <rPh sb="7" eb="9">
      <t>ホジョ</t>
    </rPh>
    <rPh sb="9" eb="11">
      <t>タイショウ</t>
    </rPh>
    <rPh sb="11" eb="13">
      <t>ジュウコ</t>
    </rPh>
    <rPh sb="13" eb="15">
      <t>ボシュウ</t>
    </rPh>
    <rPh sb="16" eb="18">
      <t>モウシコ</t>
    </rPh>
    <rPh sb="19" eb="21">
      <t>ジュウコ</t>
    </rPh>
    <rPh sb="22" eb="24">
      <t>キニュウ</t>
    </rPh>
    <phoneticPr fontId="2"/>
  </si>
  <si>
    <t>家賃低廉化補助対象住戸　市営住宅家賃相当額計算シート</t>
    <rPh sb="0" eb="2">
      <t>ヤチン</t>
    </rPh>
    <rPh sb="2" eb="5">
      <t>テイレンカ</t>
    </rPh>
    <rPh sb="5" eb="7">
      <t>ホジョ</t>
    </rPh>
    <rPh sb="7" eb="9">
      <t>タイショウ</t>
    </rPh>
    <rPh sb="9" eb="11">
      <t>ジュウコ</t>
    </rPh>
    <rPh sb="12" eb="14">
      <t>シエイ</t>
    </rPh>
    <rPh sb="14" eb="16">
      <t>ジュウタク</t>
    </rPh>
    <rPh sb="16" eb="18">
      <t>ヤチン</t>
    </rPh>
    <rPh sb="18" eb="20">
      <t>ソウトウ</t>
    </rPh>
    <rPh sb="20" eb="21">
      <t>ガク</t>
    </rPh>
    <rPh sb="21" eb="23">
      <t>ケイサン</t>
    </rPh>
    <phoneticPr fontId="2"/>
  </si>
  <si>
    <t>JR</t>
    <phoneticPr fontId="2"/>
  </si>
  <si>
    <t>あきる野市</t>
    <rPh sb="3" eb="4">
      <t>ノ</t>
    </rPh>
    <rPh sb="4" eb="5">
      <t>シ</t>
    </rPh>
    <phoneticPr fontId="2"/>
  </si>
  <si>
    <t>※ケーブルカー除く</t>
    <rPh sb="7" eb="8">
      <t>ノゾ</t>
    </rPh>
    <phoneticPr fontId="2"/>
  </si>
  <si>
    <t>相模原市</t>
    <rPh sb="0" eb="3">
      <t>サガミハラ</t>
    </rPh>
    <rPh sb="3" eb="4">
      <t>シ</t>
    </rPh>
    <phoneticPr fontId="2"/>
  </si>
  <si>
    <t>南橋本</t>
    <rPh sb="0" eb="1">
      <t>ミナミ</t>
    </rPh>
    <rPh sb="1" eb="3">
      <t>ハシモト</t>
    </rPh>
    <phoneticPr fontId="2"/>
  </si>
  <si>
    <t>多摩モノレール</t>
    <rPh sb="0" eb="2">
      <t>タマ</t>
    </rPh>
    <phoneticPr fontId="2"/>
  </si>
  <si>
    <t>日野市</t>
    <rPh sb="0" eb="2">
      <t>ヒノ</t>
    </rPh>
    <rPh sb="2" eb="3">
      <t>シ</t>
    </rPh>
    <phoneticPr fontId="2"/>
  </si>
  <si>
    <t>万願寺</t>
    <rPh sb="0" eb="3">
      <t>マンガンジ</t>
    </rPh>
    <phoneticPr fontId="2"/>
  </si>
  <si>
    <t>京王線</t>
    <rPh sb="0" eb="2">
      <t>ケイオウ</t>
    </rPh>
    <rPh sb="2" eb="3">
      <t>セン</t>
    </rPh>
    <phoneticPr fontId="2"/>
  </si>
  <si>
    <t>百草園</t>
    <rPh sb="0" eb="1">
      <t>ヒャク</t>
    </rPh>
    <rPh sb="1" eb="2">
      <t>クサ</t>
    </rPh>
    <rPh sb="2" eb="3">
      <t>エン</t>
    </rPh>
    <phoneticPr fontId="2"/>
  </si>
  <si>
    <t>南平</t>
    <rPh sb="0" eb="1">
      <t>ミナミ</t>
    </rPh>
    <rPh sb="1" eb="2">
      <t>タイラ</t>
    </rPh>
    <phoneticPr fontId="2"/>
  </si>
  <si>
    <t>程久保</t>
    <rPh sb="0" eb="3">
      <t>ホドクボ</t>
    </rPh>
    <phoneticPr fontId="2"/>
  </si>
  <si>
    <t>相模原</t>
    <rPh sb="0" eb="3">
      <t>サガミハラ</t>
    </rPh>
    <phoneticPr fontId="2"/>
  </si>
  <si>
    <t>武蔵五日市</t>
    <rPh sb="0" eb="2">
      <t>ムサシ</t>
    </rPh>
    <rPh sb="2" eb="4">
      <t>イツカ</t>
    </rPh>
    <rPh sb="4" eb="5">
      <t>シ</t>
    </rPh>
    <phoneticPr fontId="2"/>
  </si>
  <si>
    <t>甲州街道</t>
    <rPh sb="0" eb="2">
      <t>コウシュウ</t>
    </rPh>
    <rPh sb="2" eb="4">
      <t>カイドウ</t>
    </rPh>
    <phoneticPr fontId="2"/>
  </si>
  <si>
    <t>立川市</t>
    <rPh sb="0" eb="2">
      <t>タチカワ</t>
    </rPh>
    <rPh sb="2" eb="3">
      <t>シ</t>
    </rPh>
    <phoneticPr fontId="2"/>
  </si>
  <si>
    <t>柴崎体育館</t>
    <rPh sb="0" eb="2">
      <t>シバサキ</t>
    </rPh>
    <rPh sb="2" eb="5">
      <t>タイイクカン</t>
    </rPh>
    <phoneticPr fontId="2"/>
  </si>
  <si>
    <t>武蔵増戸</t>
    <rPh sb="0" eb="2">
      <t>ムサシ</t>
    </rPh>
    <rPh sb="2" eb="3">
      <t>フ</t>
    </rPh>
    <rPh sb="3" eb="4">
      <t>ト</t>
    </rPh>
    <phoneticPr fontId="2"/>
  </si>
  <si>
    <t>武蔵引田</t>
    <rPh sb="0" eb="2">
      <t>ムサシ</t>
    </rPh>
    <rPh sb="2" eb="3">
      <t>ヒ</t>
    </rPh>
    <rPh sb="3" eb="4">
      <t>タ</t>
    </rPh>
    <phoneticPr fontId="2"/>
  </si>
  <si>
    <t>東秋留</t>
    <rPh sb="0" eb="1">
      <t>ヒガシ</t>
    </rPh>
    <rPh sb="1" eb="2">
      <t>アキ</t>
    </rPh>
    <rPh sb="2" eb="3">
      <t>トド</t>
    </rPh>
    <phoneticPr fontId="2"/>
  </si>
  <si>
    <t>秋川</t>
    <rPh sb="0" eb="2">
      <t>アキカワ</t>
    </rPh>
    <phoneticPr fontId="2"/>
  </si>
  <si>
    <t>日野</t>
    <rPh sb="0" eb="2">
      <t>ヒノ</t>
    </rPh>
    <phoneticPr fontId="2"/>
  </si>
  <si>
    <t>JR</t>
    <phoneticPr fontId="2"/>
  </si>
  <si>
    <t>立川</t>
    <rPh sb="0" eb="2">
      <t>タチカワ</t>
    </rPh>
    <phoneticPr fontId="2"/>
  </si>
  <si>
    <t>小田急</t>
    <rPh sb="0" eb="3">
      <t>オダキュウ</t>
    </rPh>
    <phoneticPr fontId="2"/>
  </si>
  <si>
    <t>多摩市</t>
    <rPh sb="0" eb="2">
      <t>タマ</t>
    </rPh>
    <rPh sb="2" eb="3">
      <t>シ</t>
    </rPh>
    <phoneticPr fontId="2"/>
  </si>
  <si>
    <t>唐木田</t>
    <rPh sb="0" eb="1">
      <t>トウ</t>
    </rPh>
    <rPh sb="1" eb="2">
      <t>キ</t>
    </rPh>
    <rPh sb="2" eb="3">
      <t>タ</t>
    </rPh>
    <phoneticPr fontId="2"/>
  </si>
  <si>
    <t>昭島市</t>
    <rPh sb="0" eb="2">
      <t>アキシマ</t>
    </rPh>
    <rPh sb="2" eb="3">
      <t>シ</t>
    </rPh>
    <phoneticPr fontId="2"/>
  </si>
  <si>
    <t>東中神</t>
    <rPh sb="0" eb="1">
      <t>ヒガシ</t>
    </rPh>
    <rPh sb="1" eb="2">
      <t>ナカ</t>
    </rPh>
    <rPh sb="2" eb="3">
      <t>カミ</t>
    </rPh>
    <phoneticPr fontId="2"/>
  </si>
  <si>
    <t>中神</t>
    <rPh sb="0" eb="1">
      <t>ナカ</t>
    </rPh>
    <rPh sb="1" eb="2">
      <t>カミ</t>
    </rPh>
    <phoneticPr fontId="2"/>
  </si>
  <si>
    <t>相模湖</t>
    <rPh sb="0" eb="3">
      <t>サガミコ</t>
    </rPh>
    <phoneticPr fontId="2"/>
  </si>
  <si>
    <t>昭島</t>
    <rPh sb="0" eb="2">
      <t>アキシマ</t>
    </rPh>
    <phoneticPr fontId="2"/>
  </si>
  <si>
    <t>町田市</t>
    <rPh sb="0" eb="2">
      <t>マチダ</t>
    </rPh>
    <rPh sb="2" eb="3">
      <t>シ</t>
    </rPh>
    <phoneticPr fontId="2"/>
  </si>
  <si>
    <t>相原</t>
    <rPh sb="0" eb="2">
      <t>アイハラ</t>
    </rPh>
    <phoneticPr fontId="2"/>
  </si>
  <si>
    <t>京王線</t>
    <rPh sb="0" eb="3">
      <t>ケイオウセン</t>
    </rPh>
    <phoneticPr fontId="2"/>
  </si>
  <si>
    <t>多摩境</t>
    <rPh sb="0" eb="2">
      <t>タマ</t>
    </rPh>
    <rPh sb="2" eb="3">
      <t>サカイ</t>
    </rPh>
    <phoneticPr fontId="2"/>
  </si>
  <si>
    <t>多摩動物公園</t>
    <rPh sb="0" eb="2">
      <t>タマ</t>
    </rPh>
    <rPh sb="2" eb="4">
      <t>ドウブツ</t>
    </rPh>
    <rPh sb="4" eb="6">
      <t>コウエン</t>
    </rPh>
    <phoneticPr fontId="2"/>
  </si>
  <si>
    <t>平山城址公園</t>
    <rPh sb="0" eb="2">
      <t>ヒラヤマ</t>
    </rPh>
    <rPh sb="2" eb="4">
      <t>ジョウシ</t>
    </rPh>
    <rPh sb="4" eb="6">
      <t>コウエン</t>
    </rPh>
    <phoneticPr fontId="2"/>
  </si>
  <si>
    <t>町田</t>
    <rPh sb="0" eb="2">
      <t>マチダ</t>
    </rPh>
    <phoneticPr fontId="2"/>
  </si>
  <si>
    <t>JR</t>
    <phoneticPr fontId="2"/>
  </si>
  <si>
    <t>橋本</t>
    <rPh sb="0" eb="2">
      <t>ハシモト</t>
    </rPh>
    <phoneticPr fontId="2"/>
  </si>
  <si>
    <t>拝島</t>
    <rPh sb="0" eb="2">
      <t>ハイジマ</t>
    </rPh>
    <phoneticPr fontId="2"/>
  </si>
  <si>
    <t>モノレールは両方データあり</t>
    <rPh sb="6" eb="7">
      <t>リョウ</t>
    </rPh>
    <rPh sb="7" eb="8">
      <t>ホウ</t>
    </rPh>
    <phoneticPr fontId="2"/>
  </si>
  <si>
    <t>高幡不動</t>
    <rPh sb="0" eb="2">
      <t>タカハタ</t>
    </rPh>
    <rPh sb="2" eb="4">
      <t>フドウ</t>
    </rPh>
    <phoneticPr fontId="2"/>
  </si>
  <si>
    <t>豊田</t>
    <rPh sb="0" eb="2">
      <t>トヨダ</t>
    </rPh>
    <phoneticPr fontId="2"/>
  </si>
  <si>
    <t>小田急永山</t>
    <rPh sb="0" eb="3">
      <t>オダキュウ</t>
    </rPh>
    <rPh sb="3" eb="5">
      <t>ナガヤマ</t>
    </rPh>
    <phoneticPr fontId="2"/>
  </si>
  <si>
    <t>京王永山</t>
    <rPh sb="0" eb="2">
      <t>ケイオウ</t>
    </rPh>
    <rPh sb="2" eb="4">
      <t>ナガヤマ</t>
    </rPh>
    <phoneticPr fontId="2"/>
  </si>
  <si>
    <t>聖蹟桜ヶ丘</t>
    <rPh sb="0" eb="2">
      <t>セイセキ</t>
    </rPh>
    <rPh sb="2" eb="5">
      <t>サクラガオカ</t>
    </rPh>
    <phoneticPr fontId="2"/>
  </si>
  <si>
    <t>京王多摩センター</t>
    <rPh sb="0" eb="2">
      <t>ケイオウ</t>
    </rPh>
    <rPh sb="2" eb="4">
      <t>タマ</t>
    </rPh>
    <phoneticPr fontId="2"/>
  </si>
  <si>
    <t>小田急多摩センター</t>
    <rPh sb="0" eb="3">
      <t>オダキュウ</t>
    </rPh>
    <phoneticPr fontId="2"/>
  </si>
  <si>
    <t>八王子市</t>
    <rPh sb="0" eb="3">
      <t>ハチオウジ</t>
    </rPh>
    <rPh sb="3" eb="4">
      <t>シ</t>
    </rPh>
    <phoneticPr fontId="2"/>
  </si>
  <si>
    <t>多摩センター</t>
    <rPh sb="0" eb="2">
      <t>タマ</t>
    </rPh>
    <phoneticPr fontId="2"/>
  </si>
  <si>
    <t>山田駅 (東京都)</t>
  </si>
  <si>
    <t>めじろ台駅</t>
  </si>
  <si>
    <t>南大沢駅</t>
  </si>
  <si>
    <t>松が谷駅</t>
  </si>
  <si>
    <t>JR</t>
    <phoneticPr fontId="2"/>
  </si>
  <si>
    <t>八王子みなみ野駅</t>
  </si>
  <si>
    <t>八王子駅</t>
  </si>
  <si>
    <t>狭間駅</t>
  </si>
  <si>
    <t>西八王子駅</t>
  </si>
  <si>
    <t>長沼駅 (東京都)</t>
  </si>
  <si>
    <t>中央大学・明星大学駅</t>
  </si>
  <si>
    <t>高尾山口駅</t>
  </si>
  <si>
    <t xml:space="preserve">京王高尾駅 </t>
    <rPh sb="0" eb="2">
      <t>ケイオウ</t>
    </rPh>
    <phoneticPr fontId="2"/>
  </si>
  <si>
    <t>高尾駅 (東京都)</t>
  </si>
  <si>
    <t>小宮駅</t>
  </si>
  <si>
    <t>京王堀之内駅</t>
  </si>
  <si>
    <t>京王八王子駅</t>
  </si>
  <si>
    <t>京王片倉駅</t>
  </si>
  <si>
    <t>北八王子駅</t>
  </si>
  <si>
    <t>北野駅 (東京都)</t>
  </si>
  <si>
    <t>片倉駅</t>
  </si>
  <si>
    <t>大塚・帝京大学駅</t>
    <phoneticPr fontId="2"/>
  </si>
  <si>
    <t>備考</t>
    <rPh sb="0" eb="2">
      <t>ビコウ</t>
    </rPh>
    <phoneticPr fontId="2"/>
  </si>
  <si>
    <t>調査年</t>
    <rPh sb="0" eb="2">
      <t>チョウサ</t>
    </rPh>
    <rPh sb="2" eb="3">
      <t>ネン</t>
    </rPh>
    <phoneticPr fontId="2"/>
  </si>
  <si>
    <t>利便性係数に使用</t>
    <rPh sb="0" eb="3">
      <t>リベンセイ</t>
    </rPh>
    <rPh sb="3" eb="5">
      <t>ケイスウ</t>
    </rPh>
    <rPh sb="6" eb="8">
      <t>シヨウ</t>
    </rPh>
    <phoneticPr fontId="2"/>
  </si>
  <si>
    <t>乗降人数</t>
    <rPh sb="0" eb="2">
      <t>ジョウコウ</t>
    </rPh>
    <rPh sb="2" eb="4">
      <t>ニンズウ</t>
    </rPh>
    <phoneticPr fontId="2"/>
  </si>
  <si>
    <t>乗客人数</t>
    <rPh sb="0" eb="2">
      <t>ジョウキャク</t>
    </rPh>
    <rPh sb="2" eb="4">
      <t>ニンズウ</t>
    </rPh>
    <phoneticPr fontId="2"/>
  </si>
  <si>
    <t>リスト使用</t>
    <rPh sb="3" eb="5">
      <t>シヨウ</t>
    </rPh>
    <phoneticPr fontId="2"/>
  </si>
  <si>
    <t>路線名</t>
    <rPh sb="0" eb="2">
      <t>ロセン</t>
    </rPh>
    <rPh sb="2" eb="3">
      <t>メイ</t>
    </rPh>
    <phoneticPr fontId="2"/>
  </si>
  <si>
    <t>所在地</t>
    <rPh sb="0" eb="2">
      <t>ショザイ</t>
    </rPh>
    <rPh sb="2" eb="3">
      <t>チ</t>
    </rPh>
    <phoneticPr fontId="2"/>
  </si>
  <si>
    <t>駅名</t>
    <rPh sb="0" eb="1">
      <t>エキ</t>
    </rPh>
    <rPh sb="1" eb="2">
      <t>メイ</t>
    </rPh>
    <phoneticPr fontId="2"/>
  </si>
  <si>
    <t>70以下</t>
    <rPh sb="2" eb="4">
      <t>イカ</t>
    </rPh>
    <phoneticPr fontId="2"/>
  </si>
  <si>
    <t>利便性係数</t>
    <rPh sb="0" eb="3">
      <t>リベンセイ</t>
    </rPh>
    <rPh sb="3" eb="5">
      <t>ケイスウ</t>
    </rPh>
    <phoneticPr fontId="2"/>
  </si>
  <si>
    <t>合計ポイント</t>
    <rPh sb="0" eb="2">
      <t>ゴウケイ</t>
    </rPh>
    <phoneticPr fontId="2"/>
  </si>
  <si>
    <t>結果</t>
    <rPh sb="0" eb="2">
      <t>ケッカ</t>
    </rPh>
    <phoneticPr fontId="2"/>
  </si>
  <si>
    <t>利便性係数表</t>
    <rPh sb="0" eb="3">
      <t>リベンセイ</t>
    </rPh>
    <rPh sb="3" eb="5">
      <t>ケイスウ</t>
    </rPh>
    <rPh sb="5" eb="6">
      <t>ヒョウ</t>
    </rPh>
    <phoneticPr fontId="2"/>
  </si>
  <si>
    <t>バス停から住宅までの距離が501ｍ以上</t>
    <rPh sb="2" eb="3">
      <t>テイ</t>
    </rPh>
    <rPh sb="5" eb="7">
      <t>ジュウタク</t>
    </rPh>
    <rPh sb="10" eb="12">
      <t>キョリ</t>
    </rPh>
    <rPh sb="17" eb="19">
      <t>イジョウ</t>
    </rPh>
    <phoneticPr fontId="2"/>
  </si>
  <si>
    <t>バス停から住宅までの距離が301ｍ～500ｍ</t>
    <rPh sb="2" eb="3">
      <t>テイ</t>
    </rPh>
    <rPh sb="5" eb="7">
      <t>ジュウタク</t>
    </rPh>
    <rPh sb="10" eb="12">
      <t>キョリ</t>
    </rPh>
    <phoneticPr fontId="2"/>
  </si>
  <si>
    <t>バス停から住宅までの距離が101ｍ～300ｍ</t>
    <rPh sb="2" eb="3">
      <t>テイ</t>
    </rPh>
    <rPh sb="5" eb="7">
      <t>ジュウタク</t>
    </rPh>
    <rPh sb="10" eb="12">
      <t>キョリ</t>
    </rPh>
    <phoneticPr fontId="2"/>
  </si>
  <si>
    <t>バス停から住宅までの距離が100ｍ以下</t>
    <rPh sb="2" eb="3">
      <t>テイ</t>
    </rPh>
    <rPh sb="5" eb="7">
      <t>ジュウタク</t>
    </rPh>
    <rPh sb="10" eb="12">
      <t>キョリ</t>
    </rPh>
    <rPh sb="17" eb="19">
      <t>イカ</t>
    </rPh>
    <phoneticPr fontId="2"/>
  </si>
  <si>
    <t>ポイント</t>
    <phoneticPr fontId="2"/>
  </si>
  <si>
    <t>バス停距離（ｍ）</t>
    <rPh sb="2" eb="3">
      <t>テイ</t>
    </rPh>
    <rPh sb="3" eb="5">
      <t>キョリ</t>
    </rPh>
    <phoneticPr fontId="2"/>
  </si>
  <si>
    <t>バス停距離に基づくポイント</t>
    <rPh sb="2" eb="3">
      <t>テイ</t>
    </rPh>
    <rPh sb="3" eb="5">
      <t>キョリ</t>
    </rPh>
    <rPh sb="6" eb="7">
      <t>モト</t>
    </rPh>
    <phoneticPr fontId="2"/>
  </si>
  <si>
    <t>※距離は道のり</t>
    <rPh sb="1" eb="3">
      <t>キョリ</t>
    </rPh>
    <rPh sb="4" eb="5">
      <t>ミチ</t>
    </rPh>
    <phoneticPr fontId="2"/>
  </si>
  <si>
    <t>バス（6,001ｍ以上）</t>
    <rPh sb="9" eb="11">
      <t>イジョウ</t>
    </rPh>
    <phoneticPr fontId="2"/>
  </si>
  <si>
    <t>バス（4,501ｍ～6,000ｍ）</t>
    <phoneticPr fontId="2"/>
  </si>
  <si>
    <t>バス（3,001ｍ～4,500ｍ）</t>
    <phoneticPr fontId="2"/>
  </si>
  <si>
    <t>バス（1,501ｍ～3,000ｍ）</t>
    <phoneticPr fontId="2"/>
  </si>
  <si>
    <t>徒歩又はバス（1,251ｍ～1,500ｍ）</t>
    <rPh sb="0" eb="2">
      <t>トホ</t>
    </rPh>
    <rPh sb="2" eb="3">
      <t>マタ</t>
    </rPh>
    <phoneticPr fontId="2"/>
  </si>
  <si>
    <t>徒歩又はバス（1,001ｍ～1,250ｍ）</t>
    <rPh sb="0" eb="2">
      <t>トホ</t>
    </rPh>
    <rPh sb="2" eb="3">
      <t>マタ</t>
    </rPh>
    <phoneticPr fontId="2"/>
  </si>
  <si>
    <t>徒歩（751ｍ～1,000ｍ）</t>
    <rPh sb="0" eb="2">
      <t>トホ</t>
    </rPh>
    <phoneticPr fontId="2"/>
  </si>
  <si>
    <t>駅までの交通手段・距離（m）</t>
    <rPh sb="0" eb="1">
      <t>エキ</t>
    </rPh>
    <rPh sb="4" eb="6">
      <t>コウツウ</t>
    </rPh>
    <rPh sb="6" eb="8">
      <t>シュダン</t>
    </rPh>
    <rPh sb="9" eb="11">
      <t>キョリ</t>
    </rPh>
    <phoneticPr fontId="2"/>
  </si>
  <si>
    <t>駅までの交通手段・距離に基づくポイント</t>
    <rPh sb="0" eb="1">
      <t>エキ</t>
    </rPh>
    <rPh sb="4" eb="6">
      <t>コウツウ</t>
    </rPh>
    <rPh sb="6" eb="8">
      <t>シュダン</t>
    </rPh>
    <rPh sb="9" eb="11">
      <t>キョリ</t>
    </rPh>
    <rPh sb="12" eb="13">
      <t>モト</t>
    </rPh>
    <phoneticPr fontId="2"/>
  </si>
  <si>
    <t>20000以下</t>
    <rPh sb="5" eb="7">
      <t>イカ</t>
    </rPh>
    <phoneticPr fontId="2"/>
  </si>
  <si>
    <t>20001～40000</t>
    <phoneticPr fontId="2"/>
  </si>
  <si>
    <t>40001～60000</t>
    <phoneticPr fontId="2"/>
  </si>
  <si>
    <t>60001～80000</t>
    <phoneticPr fontId="2"/>
  </si>
  <si>
    <t>ポイント</t>
    <phoneticPr fontId="2"/>
  </si>
  <si>
    <t>乗車人員</t>
    <rPh sb="0" eb="2">
      <t>ジョウシャ</t>
    </rPh>
    <rPh sb="2" eb="4">
      <t>ジンイン</t>
    </rPh>
    <phoneticPr fontId="2"/>
  </si>
  <si>
    <t>80001以上</t>
    <rPh sb="5" eb="7">
      <t>イジョウ</t>
    </rPh>
    <phoneticPr fontId="2"/>
  </si>
  <si>
    <t>最寄り駅乗車人員（人/日）</t>
    <rPh sb="0" eb="2">
      <t>モヨ</t>
    </rPh>
    <rPh sb="3" eb="4">
      <t>エキ</t>
    </rPh>
    <rPh sb="4" eb="6">
      <t>ジョウシャ</t>
    </rPh>
    <rPh sb="6" eb="8">
      <t>ジンイン</t>
    </rPh>
    <rPh sb="9" eb="10">
      <t>ヒト</t>
    </rPh>
    <rPh sb="11" eb="12">
      <t>ニチ</t>
    </rPh>
    <phoneticPr fontId="2"/>
  </si>
  <si>
    <t>最寄り駅乗車人員に基づくポイント</t>
    <rPh sb="0" eb="2">
      <t>モヨ</t>
    </rPh>
    <rPh sb="3" eb="4">
      <t>エキ</t>
    </rPh>
    <rPh sb="4" eb="6">
      <t>ジョウシャ</t>
    </rPh>
    <rPh sb="6" eb="8">
      <t>ジンイン</t>
    </rPh>
    <rPh sb="9" eb="10">
      <t>モト</t>
    </rPh>
    <phoneticPr fontId="2"/>
  </si>
  <si>
    <t>90000以下</t>
    <rPh sb="5" eb="7">
      <t>イカ</t>
    </rPh>
    <phoneticPr fontId="2"/>
  </si>
  <si>
    <t>90001～110000</t>
    <phoneticPr fontId="2"/>
  </si>
  <si>
    <t>110001～130000</t>
    <phoneticPr fontId="2"/>
  </si>
  <si>
    <t>130001～150000</t>
    <phoneticPr fontId="2"/>
  </si>
  <si>
    <t>木造以外</t>
    <rPh sb="0" eb="2">
      <t>モクゾウ</t>
    </rPh>
    <rPh sb="2" eb="4">
      <t>イガイ</t>
    </rPh>
    <phoneticPr fontId="2"/>
  </si>
  <si>
    <t>150001～170000</t>
    <phoneticPr fontId="2"/>
  </si>
  <si>
    <t>木造</t>
    <rPh sb="0" eb="2">
      <t>モクゾウ</t>
    </rPh>
    <phoneticPr fontId="2"/>
  </si>
  <si>
    <t>170001以上</t>
    <rPh sb="6" eb="8">
      <t>イジョウ</t>
    </rPh>
    <phoneticPr fontId="2"/>
  </si>
  <si>
    <t>固定資産税評価額（円/㎡）</t>
    <rPh sb="0" eb="2">
      <t>コテイ</t>
    </rPh>
    <rPh sb="2" eb="5">
      <t>シサンゼイ</t>
    </rPh>
    <rPh sb="5" eb="8">
      <t>ヒョウカガク</t>
    </rPh>
    <rPh sb="9" eb="10">
      <t>エン</t>
    </rPh>
    <phoneticPr fontId="2"/>
  </si>
  <si>
    <t>経過年数係数計算</t>
    <rPh sb="0" eb="2">
      <t>ケイカ</t>
    </rPh>
    <rPh sb="2" eb="4">
      <t>ネンスウ</t>
    </rPh>
    <rPh sb="4" eb="6">
      <t>ケイスウ</t>
    </rPh>
    <rPh sb="6" eb="8">
      <t>ケイサン</t>
    </rPh>
    <phoneticPr fontId="2"/>
  </si>
  <si>
    <t>固定資産税評価額（土地）</t>
    <rPh sb="0" eb="2">
      <t>コテイ</t>
    </rPh>
    <rPh sb="2" eb="5">
      <t>シサンゼイ</t>
    </rPh>
    <rPh sb="5" eb="8">
      <t>ヒョウカガク</t>
    </rPh>
    <rPh sb="9" eb="11">
      <t>トチ</t>
    </rPh>
    <phoneticPr fontId="2"/>
  </si>
  <si>
    <t>市営住宅家賃相当額の最低額</t>
    <rPh sb="0" eb="2">
      <t>シエイ</t>
    </rPh>
    <rPh sb="2" eb="4">
      <t>ジュウタク</t>
    </rPh>
    <rPh sb="4" eb="6">
      <t>ヤチン</t>
    </rPh>
    <rPh sb="6" eb="8">
      <t>ソウトウ</t>
    </rPh>
    <rPh sb="8" eb="9">
      <t>ガク</t>
    </rPh>
    <rPh sb="10" eb="13">
      <t>サイテイガク</t>
    </rPh>
    <phoneticPr fontId="2"/>
  </si>
  <si>
    <t>＝</t>
    <phoneticPr fontId="2"/>
  </si>
  <si>
    <t>×</t>
    <phoneticPr fontId="2"/>
  </si>
  <si>
    <t>規模係数</t>
    <rPh sb="0" eb="2">
      <t>キボ</t>
    </rPh>
    <rPh sb="2" eb="4">
      <t>ケイスウ</t>
    </rPh>
    <phoneticPr fontId="2"/>
  </si>
  <si>
    <t>市町村立地係数</t>
    <rPh sb="0" eb="3">
      <t>シチョウソン</t>
    </rPh>
    <rPh sb="3" eb="5">
      <t>リッチ</t>
    </rPh>
    <rPh sb="5" eb="7">
      <t>ケイスウ</t>
    </rPh>
    <phoneticPr fontId="2"/>
  </si>
  <si>
    <t>新構造別数値</t>
    <rPh sb="0" eb="1">
      <t>シン</t>
    </rPh>
    <rPh sb="1" eb="3">
      <t>コウゾウ</t>
    </rPh>
    <rPh sb="3" eb="4">
      <t>ベツ</t>
    </rPh>
    <rPh sb="4" eb="6">
      <t>スウチ</t>
    </rPh>
    <phoneticPr fontId="2"/>
  </si>
  <si>
    <t>経過年数</t>
    <rPh sb="0" eb="2">
      <t>ケイカ</t>
    </rPh>
    <rPh sb="2" eb="4">
      <t>ネンスウ</t>
    </rPh>
    <phoneticPr fontId="2"/>
  </si>
  <si>
    <t>H16年までの経過年数</t>
    <rPh sb="3" eb="4">
      <t>ネン</t>
    </rPh>
    <rPh sb="7" eb="9">
      <t>ケイカ</t>
    </rPh>
    <rPh sb="9" eb="11">
      <t>ネンスウ</t>
    </rPh>
    <phoneticPr fontId="2"/>
  </si>
  <si>
    <t>新経過年数係数</t>
    <rPh sb="0" eb="1">
      <t>シン</t>
    </rPh>
    <rPh sb="1" eb="3">
      <t>ケイカ</t>
    </rPh>
    <rPh sb="3" eb="5">
      <t>ネンスウ</t>
    </rPh>
    <rPh sb="5" eb="7">
      <t>ケイスウ</t>
    </rPh>
    <phoneticPr fontId="2"/>
  </si>
  <si>
    <t>使用経過年数係数</t>
    <rPh sb="0" eb="2">
      <t>シヨウ</t>
    </rPh>
    <rPh sb="2" eb="4">
      <t>ケイカ</t>
    </rPh>
    <rPh sb="4" eb="6">
      <t>ネンスウ</t>
    </rPh>
    <rPh sb="6" eb="8">
      <t>ケイスウ</t>
    </rPh>
    <phoneticPr fontId="2"/>
  </si>
  <si>
    <t>建設年月/時点</t>
    <rPh sb="0" eb="2">
      <t>ケンセツ</t>
    </rPh>
    <rPh sb="2" eb="4">
      <t>ネンゲツ</t>
    </rPh>
    <rPh sb="5" eb="7">
      <t>ジテン</t>
    </rPh>
    <phoneticPr fontId="2"/>
  </si>
  <si>
    <t>構造別数値（H16）</t>
    <rPh sb="0" eb="2">
      <t>コウゾウ</t>
    </rPh>
    <rPh sb="2" eb="3">
      <t>ベツ</t>
    </rPh>
    <rPh sb="3" eb="5">
      <t>スウチ</t>
    </rPh>
    <phoneticPr fontId="2"/>
  </si>
  <si>
    <t>円</t>
    <rPh sb="0" eb="1">
      <t>エン</t>
    </rPh>
    <phoneticPr fontId="2"/>
  </si>
  <si>
    <t>駅名</t>
    <rPh sb="0" eb="2">
      <t>エキメイ</t>
    </rPh>
    <phoneticPr fontId="2"/>
  </si>
  <si>
    <t>乗降人員</t>
    <rPh sb="0" eb="2">
      <t>ジョウコウ</t>
    </rPh>
    <rPh sb="2" eb="4">
      <t>ジンイン</t>
    </rPh>
    <phoneticPr fontId="2"/>
  </si>
  <si>
    <t>経過年数係数</t>
    <rPh sb="0" eb="2">
      <t>ケイカ</t>
    </rPh>
    <rPh sb="2" eb="4">
      <t>ネンスウ</t>
    </rPh>
    <rPh sb="4" eb="6">
      <t>ケイスウ</t>
    </rPh>
    <phoneticPr fontId="2"/>
  </si>
  <si>
    <t>結果①</t>
    <rPh sb="0" eb="2">
      <t>ケッカ</t>
    </rPh>
    <phoneticPr fontId="2"/>
  </si>
  <si>
    <t>結果②</t>
    <rPh sb="0" eb="2">
      <t>ケッカ</t>
    </rPh>
    <phoneticPr fontId="2"/>
  </si>
  <si>
    <t>結果③</t>
    <rPh sb="0" eb="2">
      <t>ケッカ</t>
    </rPh>
    <phoneticPr fontId="2"/>
  </si>
  <si>
    <t>①</t>
    <phoneticPr fontId="2"/>
  </si>
  <si>
    <t>②</t>
    <phoneticPr fontId="2"/>
  </si>
  <si>
    <t>③</t>
    <phoneticPr fontId="2"/>
  </si>
  <si>
    <t>最終結果</t>
    <rPh sb="0" eb="2">
      <t>サイシュウ</t>
    </rPh>
    <rPh sb="2" eb="4">
      <t>ケッカ</t>
    </rPh>
    <phoneticPr fontId="2"/>
  </si>
  <si>
    <t>固定資産税
評価額（土地）
　［円/㎡］</t>
    <rPh sb="16" eb="17">
      <t>エン</t>
    </rPh>
    <phoneticPr fontId="2"/>
  </si>
  <si>
    <t>①</t>
    <phoneticPr fontId="2"/>
  </si>
  <si>
    <t>②</t>
    <phoneticPr fontId="2"/>
  </si>
  <si>
    <t>③</t>
    <phoneticPr fontId="2"/>
  </si>
  <si>
    <t>路線名</t>
    <phoneticPr fontId="2"/>
  </si>
  <si>
    <t>最寄駅（複数選択可）</t>
    <phoneticPr fontId="2"/>
  </si>
  <si>
    <t>最寄駅</t>
    <rPh sb="0" eb="2">
      <t>モヨリ</t>
    </rPh>
    <rPh sb="2" eb="3">
      <t>エキ</t>
    </rPh>
    <phoneticPr fontId="2"/>
  </si>
  <si>
    <t>各最寄り駅までの距離</t>
    <rPh sb="0" eb="1">
      <t>カク</t>
    </rPh>
    <rPh sb="1" eb="3">
      <t>モヨ</t>
    </rPh>
    <rPh sb="4" eb="5">
      <t>エキ</t>
    </rPh>
    <phoneticPr fontId="2"/>
  </si>
  <si>
    <t>年度</t>
    <phoneticPr fontId="2"/>
  </si>
  <si>
    <t>年度</t>
    <rPh sb="0" eb="2">
      <t>ネンド</t>
    </rPh>
    <phoneticPr fontId="2"/>
  </si>
  <si>
    <t>基準経過年数係数</t>
    <rPh sb="2" eb="4">
      <t>ケイカ</t>
    </rPh>
    <rPh sb="4" eb="6">
      <t>ネンスウ</t>
    </rPh>
    <rPh sb="6" eb="8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</si>
</sst>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38" fontId="0" fillId="0" borderId="6" xfId="1" applyFont="1" applyBorder="1">
      <alignment vertical="center"/>
    </xf>
    <xf numFmtId="0" fontId="0" fillId="0" borderId="7" xfId="0" applyBorder="1" applyAlignment="1">
      <alignment horizontal="center" vertical="center"/>
    </xf>
    <xf numFmtId="38" fontId="0" fillId="0" borderId="3" xfId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>
      <alignment vertical="center"/>
    </xf>
    <xf numFmtId="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2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22" xfId="0" applyBorder="1">
      <alignment vertical="center"/>
    </xf>
    <xf numFmtId="14" fontId="0" fillId="0" borderId="0" xfId="0" applyNumberFormat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2" borderId="21" xfId="0" applyFill="1" applyBorder="1">
      <alignment vertical="center"/>
    </xf>
    <xf numFmtId="0" fontId="4" fillId="0" borderId="0" xfId="0" applyFont="1">
      <alignment vertical="center"/>
    </xf>
    <xf numFmtId="0" fontId="0" fillId="0" borderId="26" xfId="0" applyBorder="1">
      <alignment vertical="center"/>
    </xf>
    <xf numFmtId="0" fontId="4" fillId="0" borderId="21" xfId="0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>
      <alignment vertical="center"/>
    </xf>
    <xf numFmtId="38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9" xfId="0" applyFont="1" applyBorder="1">
      <alignment vertical="center"/>
    </xf>
    <xf numFmtId="38" fontId="3" fillId="0" borderId="28" xfId="1" applyFont="1" applyBorder="1" applyAlignment="1">
      <alignment horizontal="right" vertical="center"/>
    </xf>
    <xf numFmtId="0" fontId="0" fillId="2" borderId="1" xfId="0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0" borderId="13" xfId="1" applyFont="1" applyBorder="1" applyAlignment="1">
      <alignment vertical="center"/>
    </xf>
    <xf numFmtId="0" fontId="0" fillId="2" borderId="20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9" fillId="2" borderId="34" xfId="0" applyFont="1" applyFill="1" applyBorder="1">
      <alignment vertical="center"/>
    </xf>
    <xf numFmtId="0" fontId="9" fillId="2" borderId="35" xfId="0" applyFont="1" applyFill="1" applyBorder="1">
      <alignment vertical="center"/>
    </xf>
    <xf numFmtId="0" fontId="9" fillId="2" borderId="23" xfId="0" applyFont="1" applyFill="1" applyBorder="1" applyAlignment="1">
      <alignment horizontal="center" vertical="center"/>
    </xf>
    <xf numFmtId="38" fontId="9" fillId="2" borderId="17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0" xfId="0" applyNumberFormat="1">
      <alignment vertical="center"/>
    </xf>
    <xf numFmtId="38" fontId="11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30" xfId="0" applyBorder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7" fillId="0" borderId="0" xfId="0" applyFont="1">
      <alignment vertical="center"/>
    </xf>
    <xf numFmtId="2" fontId="8" fillId="0" borderId="24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31" xfId="0" applyBorder="1">
      <alignment vertical="center"/>
    </xf>
    <xf numFmtId="0" fontId="0" fillId="0" borderId="24" xfId="0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38" fontId="9" fillId="0" borderId="13" xfId="1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40" xfId="0" applyBorder="1" applyAlignment="1">
      <alignment horizontal="left" vertical="center"/>
    </xf>
    <xf numFmtId="38" fontId="11" fillId="3" borderId="28" xfId="1" applyFont="1" applyFill="1" applyBorder="1" applyAlignment="1">
      <alignment horizontal="center" vertical="center"/>
    </xf>
    <xf numFmtId="38" fontId="11" fillId="3" borderId="38" xfId="1" applyFont="1" applyFill="1" applyBorder="1" applyAlignment="1">
      <alignment horizontal="center" vertical="center"/>
    </xf>
    <xf numFmtId="38" fontId="11" fillId="3" borderId="2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819979</xdr:colOff>
      <xdr:row>7</xdr:row>
      <xdr:rowOff>140804</xdr:rowOff>
    </xdr:from>
    <xdr:to>
      <xdr:col>6</xdr:col>
      <xdr:colOff>1192697</xdr:colOff>
      <xdr:row>12</xdr:row>
      <xdr:rowOff>74543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3382204" y="1683854"/>
          <a:ext cx="1563343" cy="790989"/>
          <a:chOff x="3188805" y="1697934"/>
          <a:chExt cx="1466022" cy="803413"/>
        </a:xfrm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188805" y="1697934"/>
            <a:ext cx="1466022" cy="505240"/>
          </a:xfrm>
          <a:prstGeom prst="roundRect">
            <a:avLst/>
          </a:prstGeom>
          <a:solidFill>
            <a:srgbClr val="FFFF00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3282908" y="1763361"/>
            <a:ext cx="1322224" cy="5640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路線名を選択した後に</a:t>
            </a:r>
            <a:endParaRPr kumimoji="1" lang="en-US" altLang="ja-JP" sz="900"/>
          </a:p>
          <a:p>
            <a:r>
              <a:rPr kumimoji="1" lang="ja-JP" altLang="en-US" sz="900"/>
              <a:t>駅名を選択してください。</a:t>
            </a:r>
            <a:endParaRPr kumimoji="1" lang="en-US" altLang="ja-JP" sz="900"/>
          </a:p>
        </xdr:txBody>
      </xdr:sp>
      <xdr:sp macro="" textlink="">
        <xdr:nvSpPr>
          <xdr:cNvPr id="8" name="下矢印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3586369" y="2244587"/>
            <a:ext cx="149088" cy="256760"/>
          </a:xfrm>
          <a:prstGeom prst="downArrow">
            <a:avLst/>
          </a:prstGeom>
          <a:solidFill>
            <a:srgbClr val="FFFF00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1104899</xdr:colOff>
      <xdr:row>7</xdr:row>
      <xdr:rowOff>152400</xdr:rowOff>
    </xdr:from>
    <xdr:to>
      <xdr:col>8</xdr:col>
      <xdr:colOff>1275522</xdr:colOff>
      <xdr:row>12</xdr:row>
      <xdr:rowOff>86139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6257924" y="1695450"/>
          <a:ext cx="2189923" cy="790989"/>
          <a:chOff x="5850834" y="1709530"/>
          <a:chExt cx="2025927" cy="803413"/>
        </a:xfrm>
      </xdr:grpSpPr>
      <xdr:sp macro="" textlink="">
        <xdr:nvSpPr>
          <xdr:cNvPr id="9" name="角丸四角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5850834" y="1709530"/>
            <a:ext cx="2025927" cy="505240"/>
          </a:xfrm>
          <a:prstGeom prst="roundRect">
            <a:avLst/>
          </a:prstGeom>
          <a:solidFill>
            <a:srgbClr val="FFFF00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5880333" y="1760052"/>
            <a:ext cx="1946732" cy="4431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選択した各最寄駅に該当するものをそれぞれ選択してください。</a:t>
            </a:r>
            <a:endParaRPr kumimoji="1" lang="en-US" altLang="ja-JP" sz="900"/>
          </a:p>
        </xdr:txBody>
      </xdr:sp>
      <xdr:sp macro="" textlink="">
        <xdr:nvSpPr>
          <xdr:cNvPr id="10" name="下矢印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999921" y="2256183"/>
            <a:ext cx="149088" cy="256760"/>
          </a:xfrm>
          <a:prstGeom prst="downArrow">
            <a:avLst/>
          </a:prstGeom>
          <a:solidFill>
            <a:srgbClr val="FFFF00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下矢印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7593495" y="2242931"/>
            <a:ext cx="149088" cy="256760"/>
          </a:xfrm>
          <a:prstGeom prst="downArrow">
            <a:avLst/>
          </a:prstGeom>
          <a:solidFill>
            <a:srgbClr val="FFFF00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219076</xdr:colOff>
          <xdr:row>22</xdr:row>
          <xdr:rowOff>0</xdr:rowOff>
        </xdr:from>
        <xdr:to>
          <xdr:col>9</xdr:col>
          <xdr:colOff>457201</xdr:colOff>
          <xdr:row>28</xdr:row>
          <xdr:rowOff>1956</xdr:rowOff>
        </xdr:to>
        <xdr:pic>
          <xdr:nvPicPr>
            <xdr:cNvPr id="97" name="図 96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計算結果!$C$4:$N$5" spid="_x0000_s14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19076" y="4200525"/>
              <a:ext cx="10039350" cy="10306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J22"/>
  <sheetViews>
    <sheetView showGridLines="0" showRowColHeaders="0" tabSelected="1" showRuler="0" zoomScaleNormal="100" zoomScalePageLayoutView="115" workbookViewId="0">
      <selection activeCell="P1" sqref="P1"/>
    </sheetView>
  </sheetViews>
  <sheetFormatPr defaultColWidth="9" defaultRowHeight="13.5" x14ac:dyDescent="0.15"/>
  <cols>
    <col min="1" max="1" width="8.75" customWidth="1"/>
    <col min="2" max="2" width="3.375" customWidth="1"/>
    <col min="3" max="3" width="5.375" customWidth="1"/>
    <col min="4" max="4" width="12.75" customWidth="1"/>
    <col min="5" max="5" width="3.375" bestFit="1" customWidth="1"/>
    <col min="6" max="6" width="15.625" customWidth="1"/>
    <col min="7" max="7" width="18.375" customWidth="1"/>
    <col min="8" max="8" width="26.5" customWidth="1"/>
    <col min="9" max="9" width="34.5" customWidth="1"/>
    <col min="10" max="10" width="8.375" customWidth="1"/>
    <col min="11" max="11" width="4.75" customWidth="1"/>
  </cols>
  <sheetData>
    <row r="2" spans="1:10" s="1" customFormat="1" ht="20.100000000000001" customHeight="1" x14ac:dyDescent="0.15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8.35" customHeight="1" x14ac:dyDescent="0.15"/>
    <row r="4" spans="1:10" x14ac:dyDescent="0.15">
      <c r="A4" t="s">
        <v>13</v>
      </c>
    </row>
    <row r="5" spans="1:10" ht="8.4499999999999993" customHeight="1" x14ac:dyDescent="0.15"/>
    <row r="6" spans="1:10" ht="20.100000000000001" customHeight="1" x14ac:dyDescent="0.15">
      <c r="A6" s="68" t="s">
        <v>12</v>
      </c>
      <c r="B6" s="69"/>
      <c r="C6" s="69"/>
      <c r="D6" s="70"/>
      <c r="E6" s="71"/>
      <c r="F6" s="71"/>
      <c r="G6" s="71"/>
      <c r="H6" s="72"/>
    </row>
    <row r="7" spans="1:10" ht="20.100000000000001" customHeight="1" x14ac:dyDescent="0.15">
      <c r="A7" s="69" t="s">
        <v>11</v>
      </c>
      <c r="B7" s="69"/>
      <c r="C7" s="69"/>
      <c r="D7" s="70"/>
      <c r="E7" s="71"/>
      <c r="F7" s="71"/>
      <c r="G7" s="71"/>
      <c r="H7" s="72"/>
    </row>
    <row r="12" spans="1:10" x14ac:dyDescent="0.15">
      <c r="A12" t="s">
        <v>10</v>
      </c>
    </row>
    <row r="13" spans="1:10" ht="8.4499999999999993" customHeight="1" x14ac:dyDescent="0.15"/>
    <row r="14" spans="1:10" ht="22.5" customHeight="1" x14ac:dyDescent="0.15">
      <c r="A14" s="68" t="s">
        <v>9</v>
      </c>
      <c r="B14" s="69"/>
      <c r="C14" s="69" t="s">
        <v>8</v>
      </c>
      <c r="D14" s="73" t="s">
        <v>163</v>
      </c>
      <c r="E14" s="49"/>
      <c r="F14" s="80" t="s">
        <v>168</v>
      </c>
      <c r="G14" s="81"/>
      <c r="H14" s="82" t="s">
        <v>170</v>
      </c>
      <c r="I14" s="73" t="s">
        <v>7</v>
      </c>
      <c r="J14" s="73" t="s">
        <v>6</v>
      </c>
    </row>
    <row r="15" spans="1:10" ht="14.1" customHeight="1" thickBot="1" x14ac:dyDescent="0.2">
      <c r="A15" s="40" t="s">
        <v>5</v>
      </c>
      <c r="B15" s="40" t="s">
        <v>4</v>
      </c>
      <c r="C15" s="69"/>
      <c r="D15" s="73"/>
      <c r="E15" s="50"/>
      <c r="F15" s="51" t="s">
        <v>167</v>
      </c>
      <c r="G15" s="51" t="s">
        <v>153</v>
      </c>
      <c r="H15" s="83"/>
      <c r="I15" s="82"/>
      <c r="J15" s="73"/>
    </row>
    <row r="16" spans="1:10" ht="14.1" customHeight="1" thickBot="1" x14ac:dyDescent="0.2">
      <c r="A16" s="75"/>
      <c r="B16" s="75"/>
      <c r="C16" s="76"/>
      <c r="D16" s="79"/>
      <c r="E16" s="52" t="s">
        <v>164</v>
      </c>
      <c r="F16" s="61"/>
      <c r="G16" s="62"/>
      <c r="H16" s="62"/>
      <c r="I16" s="60"/>
      <c r="J16" s="67"/>
    </row>
    <row r="17" spans="1:10" ht="14.1" customHeight="1" thickBot="1" x14ac:dyDescent="0.2">
      <c r="A17" s="75"/>
      <c r="B17" s="75"/>
      <c r="C17" s="77"/>
      <c r="D17" s="79"/>
      <c r="E17" s="52" t="s">
        <v>165</v>
      </c>
      <c r="F17" s="61"/>
      <c r="G17" s="62"/>
      <c r="H17" s="62"/>
      <c r="I17" s="60"/>
      <c r="J17" s="67"/>
    </row>
    <row r="18" spans="1:10" ht="14.1" customHeight="1" thickBot="1" x14ac:dyDescent="0.2">
      <c r="A18" s="75"/>
      <c r="B18" s="75"/>
      <c r="C18" s="78"/>
      <c r="D18" s="79"/>
      <c r="E18" s="52" t="s">
        <v>166</v>
      </c>
      <c r="F18" s="61"/>
      <c r="G18" s="62"/>
      <c r="H18" s="62"/>
      <c r="I18" s="60"/>
      <c r="J18" s="67"/>
    </row>
    <row r="19" spans="1:10" ht="17.100000000000001" customHeight="1" x14ac:dyDescent="0.15"/>
    <row r="21" spans="1:10" x14ac:dyDescent="0.15">
      <c r="A21" t="s">
        <v>1</v>
      </c>
    </row>
    <row r="22" spans="1:10" x14ac:dyDescent="0.15">
      <c r="A22" s="74"/>
      <c r="B22" s="74"/>
    </row>
  </sheetData>
  <protectedRanges>
    <protectedRange sqref="F16:J18" name="範囲1"/>
    <protectedRange sqref="A16:D18" name="範囲1_2"/>
    <protectedRange sqref="D6:H7" name="範囲1_3"/>
  </protectedRanges>
  <mergeCells count="18">
    <mergeCell ref="A2:J2"/>
    <mergeCell ref="A22:B22"/>
    <mergeCell ref="A16:A18"/>
    <mergeCell ref="B16:B18"/>
    <mergeCell ref="C16:C18"/>
    <mergeCell ref="D16:D18"/>
    <mergeCell ref="J16:J18"/>
    <mergeCell ref="A6:C6"/>
    <mergeCell ref="A7:C7"/>
    <mergeCell ref="D6:H6"/>
    <mergeCell ref="D7:H7"/>
    <mergeCell ref="J14:J15"/>
    <mergeCell ref="A14:B14"/>
    <mergeCell ref="C14:C15"/>
    <mergeCell ref="F14:G14"/>
    <mergeCell ref="D14:D15"/>
    <mergeCell ref="I14:I15"/>
    <mergeCell ref="H14:H15"/>
  </mergeCells>
  <phoneticPr fontId="2"/>
  <dataValidations count="6">
    <dataValidation type="list" allowBlank="1" showInputMessage="1" showErrorMessage="1" sqref="B16:B18" xr:uid="{00000000-0002-0000-0000-000000000000}">
      <formula1>"1,2,3,4,5,6,7,8,9,10,11,12"</formula1>
    </dataValidation>
    <dataValidation type="list" allowBlank="1" showInputMessage="1" showErrorMessage="1" sqref="C16:C18" xr:uid="{00000000-0002-0000-0000-000001000000}">
      <formula1>"木造,木造以外"</formula1>
    </dataValidation>
    <dataValidation type="list" allowBlank="1" showInputMessage="1" showErrorMessage="1" sqref="F16:F18" xr:uid="{00000000-0002-0000-0000-000002000000}">
      <formula1>路線名</formula1>
    </dataValidation>
    <dataValidation type="list" allowBlank="1" showInputMessage="1" showErrorMessage="1" sqref="G16:G18" xr:uid="{00000000-0002-0000-0000-000003000000}">
      <formula1>INDIRECT(F16)</formula1>
    </dataValidation>
    <dataValidation type="list" allowBlank="1" showInputMessage="1" showErrorMessage="1" sqref="I16:I18" xr:uid="{00000000-0002-0000-0000-000004000000}">
      <formula1>バス停距離</formula1>
    </dataValidation>
    <dataValidation type="list" allowBlank="1" showInputMessage="1" showErrorMessage="1" sqref="H16:H18" xr:uid="{00000000-0002-0000-0000-000005000000}">
      <formula1>駅までの交通手段・距離</formula1>
    </dataValidation>
  </dataValidations>
  <pageMargins left="0.52083333333333337" right="0.1630434782608695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R176"/>
  <sheetViews>
    <sheetView topLeftCell="E1" zoomScaleNormal="100" zoomScaleSheetLayoutView="100" workbookViewId="0">
      <selection activeCell="P38" sqref="P38"/>
    </sheetView>
  </sheetViews>
  <sheetFormatPr defaultRowHeight="13.5" x14ac:dyDescent="0.15"/>
  <cols>
    <col min="3" max="3" width="20.375" bestFit="1" customWidth="1"/>
    <col min="4" max="4" width="9" customWidth="1"/>
    <col min="5" max="5" width="13.875" bestFit="1" customWidth="1"/>
    <col min="6" max="6" width="35.875" customWidth="1"/>
    <col min="9" max="9" width="17.125" bestFit="1" customWidth="1"/>
    <col min="10" max="10" width="17.125" customWidth="1"/>
    <col min="12" max="12" width="24.875" bestFit="1" customWidth="1"/>
    <col min="15" max="15" width="20.375" bestFit="1" customWidth="1"/>
    <col min="16" max="16" width="35.875" bestFit="1" customWidth="1"/>
    <col min="17" max="17" width="15.125" bestFit="1" customWidth="1"/>
    <col min="18" max="18" width="18.125" bestFit="1" customWidth="1"/>
  </cols>
  <sheetData>
    <row r="2" spans="2:18" x14ac:dyDescent="0.15">
      <c r="B2" s="15"/>
      <c r="C2" s="13" t="s">
        <v>97</v>
      </c>
      <c r="D2" s="13" t="s">
        <v>96</v>
      </c>
      <c r="E2" s="13" t="s">
        <v>95</v>
      </c>
      <c r="F2" s="14" t="s">
        <v>94</v>
      </c>
      <c r="G2" s="13" t="s">
        <v>93</v>
      </c>
      <c r="H2" s="13" t="s">
        <v>92</v>
      </c>
      <c r="I2" s="14" t="s">
        <v>91</v>
      </c>
      <c r="J2" s="14"/>
      <c r="K2" s="13" t="s">
        <v>90</v>
      </c>
      <c r="L2" s="12" t="s">
        <v>89</v>
      </c>
      <c r="O2" s="39" t="s">
        <v>20</v>
      </c>
      <c r="P2" s="39" t="s">
        <v>15</v>
      </c>
      <c r="Q2" s="39" t="s">
        <v>23</v>
      </c>
      <c r="R2" s="39" t="s">
        <v>39</v>
      </c>
    </row>
    <row r="3" spans="2:18" x14ac:dyDescent="0.15">
      <c r="B3" s="6">
        <v>1</v>
      </c>
      <c r="C3" s="4" t="s">
        <v>88</v>
      </c>
      <c r="D3" s="4" t="s">
        <v>65</v>
      </c>
      <c r="E3" s="4" t="s">
        <v>20</v>
      </c>
      <c r="F3" s="4" t="str">
        <f>"【"&amp;E3&amp;"】"&amp;C3</f>
        <v>【多摩モノレール】大塚・帝京大学駅</v>
      </c>
      <c r="G3" s="5">
        <v>3783</v>
      </c>
      <c r="H3" s="5">
        <v>7192</v>
      </c>
      <c r="I3" s="5">
        <f t="shared" ref="I3:I34" si="0">IF(H3="",G3*2,H3)</f>
        <v>7192</v>
      </c>
      <c r="J3" s="5">
        <f t="shared" ref="J3:J34" si="1">COUNTIF($I$3:$I$61,I3)</f>
        <v>1</v>
      </c>
      <c r="K3" s="4">
        <v>2016</v>
      </c>
      <c r="L3" s="3"/>
      <c r="O3" s="18" t="s">
        <v>88</v>
      </c>
      <c r="P3" s="18" t="s">
        <v>87</v>
      </c>
      <c r="Q3" s="18" t="s">
        <v>86</v>
      </c>
      <c r="R3" s="18" t="s">
        <v>64</v>
      </c>
    </row>
    <row r="4" spans="2:18" x14ac:dyDescent="0.15">
      <c r="B4" s="6">
        <v>2</v>
      </c>
      <c r="C4" s="4" t="s">
        <v>87</v>
      </c>
      <c r="D4" s="4" t="s">
        <v>65</v>
      </c>
      <c r="E4" s="4" t="s">
        <v>71</v>
      </c>
      <c r="F4" s="4" t="str">
        <f t="shared" ref="F4:F61" si="2">"【"&amp;E4&amp;"】"&amp;C4</f>
        <v>【JR】片倉駅</v>
      </c>
      <c r="G4" s="5">
        <v>5227</v>
      </c>
      <c r="H4" s="5"/>
      <c r="I4" s="5">
        <f t="shared" si="0"/>
        <v>10454</v>
      </c>
      <c r="J4" s="5">
        <f t="shared" si="1"/>
        <v>1</v>
      </c>
      <c r="K4" s="4">
        <v>2016</v>
      </c>
      <c r="L4" s="3"/>
      <c r="O4" s="18" t="s">
        <v>77</v>
      </c>
      <c r="P4" s="18" t="s">
        <v>85</v>
      </c>
      <c r="Q4" s="18" t="s">
        <v>84</v>
      </c>
      <c r="R4" s="18" t="s">
        <v>60</v>
      </c>
    </row>
    <row r="5" spans="2:18" x14ac:dyDescent="0.15">
      <c r="B5" s="6">
        <v>3</v>
      </c>
      <c r="C5" s="4" t="s">
        <v>86</v>
      </c>
      <c r="D5" s="4" t="s">
        <v>65</v>
      </c>
      <c r="E5" s="4" t="s">
        <v>23</v>
      </c>
      <c r="F5" s="4" t="str">
        <f t="shared" si="2"/>
        <v>【京王線】北野駅 (東京都)</v>
      </c>
      <c r="G5" s="5"/>
      <c r="H5" s="5">
        <v>22645</v>
      </c>
      <c r="I5" s="5">
        <f t="shared" si="0"/>
        <v>22645</v>
      </c>
      <c r="J5" s="5">
        <f t="shared" si="1"/>
        <v>1</v>
      </c>
      <c r="K5" s="4">
        <v>2016</v>
      </c>
      <c r="L5" s="3"/>
      <c r="O5" s="18" t="s">
        <v>70</v>
      </c>
      <c r="P5" s="18" t="s">
        <v>81</v>
      </c>
      <c r="Q5" s="18" t="s">
        <v>83</v>
      </c>
      <c r="R5" s="18" t="s">
        <v>53</v>
      </c>
    </row>
    <row r="6" spans="2:18" x14ac:dyDescent="0.15">
      <c r="B6" s="6">
        <v>4</v>
      </c>
      <c r="C6" s="4" t="s">
        <v>85</v>
      </c>
      <c r="D6" s="4" t="s">
        <v>65</v>
      </c>
      <c r="E6" s="4" t="s">
        <v>71</v>
      </c>
      <c r="F6" s="4" t="str">
        <f t="shared" si="2"/>
        <v>【JR】北八王子駅</v>
      </c>
      <c r="G6" s="5">
        <v>9098</v>
      </c>
      <c r="H6" s="5"/>
      <c r="I6" s="5">
        <f t="shared" si="0"/>
        <v>18196</v>
      </c>
      <c r="J6" s="5">
        <f t="shared" si="1"/>
        <v>1</v>
      </c>
      <c r="K6" s="4">
        <v>2016</v>
      </c>
      <c r="L6" s="3"/>
      <c r="O6" s="18" t="s">
        <v>66</v>
      </c>
      <c r="P6" s="18" t="s">
        <v>80</v>
      </c>
      <c r="Q6" s="18" t="s">
        <v>82</v>
      </c>
      <c r="R6" s="18" t="s">
        <v>41</v>
      </c>
    </row>
    <row r="7" spans="2:18" x14ac:dyDescent="0.15">
      <c r="B7" s="6">
        <v>5</v>
      </c>
      <c r="C7" s="4" t="s">
        <v>84</v>
      </c>
      <c r="D7" s="4" t="s">
        <v>65</v>
      </c>
      <c r="E7" s="4" t="s">
        <v>23</v>
      </c>
      <c r="F7" s="4" t="str">
        <f t="shared" si="2"/>
        <v>【京王線】京王片倉駅</v>
      </c>
      <c r="G7" s="5"/>
      <c r="H7" s="5">
        <v>4767</v>
      </c>
      <c r="I7" s="5">
        <f t="shared" si="0"/>
        <v>4767</v>
      </c>
      <c r="J7" s="5">
        <f t="shared" si="1"/>
        <v>1</v>
      </c>
      <c r="K7" s="4">
        <v>2016</v>
      </c>
      <c r="L7" s="3"/>
      <c r="O7" s="18" t="s">
        <v>58</v>
      </c>
      <c r="P7" s="18" t="s">
        <v>75</v>
      </c>
      <c r="Q7" s="18" t="s">
        <v>79</v>
      </c>
    </row>
    <row r="8" spans="2:18" x14ac:dyDescent="0.15">
      <c r="B8" s="6">
        <v>6</v>
      </c>
      <c r="C8" s="4" t="s">
        <v>83</v>
      </c>
      <c r="D8" s="4" t="s">
        <v>65</v>
      </c>
      <c r="E8" s="4" t="s">
        <v>23</v>
      </c>
      <c r="F8" s="4" t="str">
        <f t="shared" si="2"/>
        <v>【京王線】京王八王子駅</v>
      </c>
      <c r="G8" s="5"/>
      <c r="H8" s="5">
        <v>58782</v>
      </c>
      <c r="I8" s="5">
        <f t="shared" si="0"/>
        <v>58782</v>
      </c>
      <c r="J8" s="5">
        <f t="shared" si="1"/>
        <v>1</v>
      </c>
      <c r="K8" s="4">
        <v>2016</v>
      </c>
      <c r="L8" s="3"/>
      <c r="O8" s="18" t="s">
        <v>51</v>
      </c>
      <c r="P8" s="18" t="s">
        <v>73</v>
      </c>
      <c r="Q8" s="18" t="s">
        <v>78</v>
      </c>
    </row>
    <row r="9" spans="2:18" x14ac:dyDescent="0.15">
      <c r="B9" s="6">
        <v>7</v>
      </c>
      <c r="C9" s="4" t="s">
        <v>82</v>
      </c>
      <c r="D9" s="4" t="s">
        <v>65</v>
      </c>
      <c r="E9" s="4" t="s">
        <v>49</v>
      </c>
      <c r="F9" s="4" t="str">
        <f t="shared" si="2"/>
        <v>【京王線】京王堀之内駅</v>
      </c>
      <c r="G9" s="5"/>
      <c r="H9" s="5">
        <v>32102</v>
      </c>
      <c r="I9" s="5">
        <f t="shared" si="0"/>
        <v>32102</v>
      </c>
      <c r="J9" s="5">
        <f t="shared" si="1"/>
        <v>1</v>
      </c>
      <c r="K9" s="4">
        <v>2016</v>
      </c>
      <c r="L9" s="3"/>
      <c r="O9" s="18" t="s">
        <v>31</v>
      </c>
      <c r="P9" s="18" t="s">
        <v>72</v>
      </c>
      <c r="Q9" s="18" t="s">
        <v>76</v>
      </c>
    </row>
    <row r="10" spans="2:18" x14ac:dyDescent="0.15">
      <c r="B10" s="6">
        <v>8</v>
      </c>
      <c r="C10" s="4" t="s">
        <v>81</v>
      </c>
      <c r="D10" s="4" t="s">
        <v>65</v>
      </c>
      <c r="E10" s="4" t="s">
        <v>71</v>
      </c>
      <c r="F10" s="4" t="str">
        <f t="shared" si="2"/>
        <v>【JR】小宮駅</v>
      </c>
      <c r="G10" s="5">
        <v>3186</v>
      </c>
      <c r="H10" s="5"/>
      <c r="I10" s="5">
        <f t="shared" si="0"/>
        <v>6372</v>
      </c>
      <c r="J10" s="5">
        <f t="shared" si="1"/>
        <v>1</v>
      </c>
      <c r="K10" s="4">
        <v>2016</v>
      </c>
      <c r="L10" s="3"/>
      <c r="O10" s="18" t="s">
        <v>29</v>
      </c>
      <c r="P10" s="18" t="s">
        <v>59</v>
      </c>
      <c r="Q10" s="18" t="s">
        <v>74</v>
      </c>
    </row>
    <row r="11" spans="2:18" x14ac:dyDescent="0.15">
      <c r="B11" s="6">
        <v>9</v>
      </c>
      <c r="C11" s="4" t="s">
        <v>80</v>
      </c>
      <c r="D11" s="4" t="s">
        <v>65</v>
      </c>
      <c r="E11" s="4" t="s">
        <v>71</v>
      </c>
      <c r="F11" s="4" t="str">
        <f t="shared" si="2"/>
        <v>【JR】高尾駅 (東京都)</v>
      </c>
      <c r="G11" s="5">
        <v>29071</v>
      </c>
      <c r="H11" s="5"/>
      <c r="I11" s="5">
        <f t="shared" si="0"/>
        <v>58142</v>
      </c>
      <c r="J11" s="5">
        <f t="shared" si="1"/>
        <v>1</v>
      </c>
      <c r="K11" s="4">
        <v>2016</v>
      </c>
      <c r="L11" s="3"/>
      <c r="O11" s="18" t="s">
        <v>26</v>
      </c>
      <c r="P11" s="18" t="s">
        <v>36</v>
      </c>
      <c r="Q11" s="18" t="s">
        <v>69</v>
      </c>
    </row>
    <row r="12" spans="2:18" x14ac:dyDescent="0.15">
      <c r="B12" s="6">
        <v>10</v>
      </c>
      <c r="C12" s="4" t="s">
        <v>79</v>
      </c>
      <c r="D12" s="4" t="s">
        <v>65</v>
      </c>
      <c r="E12" s="4" t="s">
        <v>23</v>
      </c>
      <c r="F12" s="4" t="str">
        <f t="shared" si="2"/>
        <v xml:space="preserve">【京王線】京王高尾駅 </v>
      </c>
      <c r="G12" s="5"/>
      <c r="H12" s="5">
        <v>27425</v>
      </c>
      <c r="I12" s="5">
        <f t="shared" si="0"/>
        <v>27425</v>
      </c>
      <c r="J12" s="5">
        <f t="shared" si="1"/>
        <v>1</v>
      </c>
      <c r="K12" s="4">
        <v>2016</v>
      </c>
      <c r="L12" s="3"/>
      <c r="O12" s="18" t="s">
        <v>22</v>
      </c>
      <c r="P12" s="18" t="s">
        <v>56</v>
      </c>
      <c r="Q12" s="18" t="s">
        <v>68</v>
      </c>
    </row>
    <row r="13" spans="2:18" x14ac:dyDescent="0.15">
      <c r="B13" s="6">
        <v>11</v>
      </c>
      <c r="C13" s="4" t="s">
        <v>78</v>
      </c>
      <c r="D13" s="4" t="s">
        <v>65</v>
      </c>
      <c r="E13" s="4" t="s">
        <v>49</v>
      </c>
      <c r="F13" s="4" t="str">
        <f t="shared" si="2"/>
        <v>【京王線】高尾山口駅</v>
      </c>
      <c r="G13" s="5"/>
      <c r="H13" s="5">
        <v>11442</v>
      </c>
      <c r="I13" s="5">
        <f t="shared" si="0"/>
        <v>11442</v>
      </c>
      <c r="J13" s="5">
        <f t="shared" si="1"/>
        <v>1</v>
      </c>
      <c r="K13" s="4">
        <v>2016</v>
      </c>
      <c r="L13" s="3"/>
      <c r="P13" s="18" t="s">
        <v>53</v>
      </c>
      <c r="Q13" s="18" t="s">
        <v>67</v>
      </c>
    </row>
    <row r="14" spans="2:18" x14ac:dyDescent="0.15">
      <c r="B14" s="6">
        <v>13</v>
      </c>
      <c r="C14" s="4" t="s">
        <v>77</v>
      </c>
      <c r="D14" s="4" t="s">
        <v>65</v>
      </c>
      <c r="E14" s="4" t="s">
        <v>20</v>
      </c>
      <c r="F14" s="4" t="str">
        <f t="shared" si="2"/>
        <v>【多摩モノレール】中央大学・明星大学駅</v>
      </c>
      <c r="G14" s="5">
        <v>17639</v>
      </c>
      <c r="H14" s="5">
        <v>35461</v>
      </c>
      <c r="I14" s="5">
        <f t="shared" si="0"/>
        <v>35461</v>
      </c>
      <c r="J14" s="5">
        <f t="shared" si="1"/>
        <v>1</v>
      </c>
      <c r="K14" s="4">
        <v>2016</v>
      </c>
      <c r="L14" s="3"/>
      <c r="P14" s="18" t="s">
        <v>48</v>
      </c>
      <c r="Q14" s="18" t="s">
        <v>63</v>
      </c>
    </row>
    <row r="15" spans="2:18" x14ac:dyDescent="0.15">
      <c r="B15" s="6">
        <v>14</v>
      </c>
      <c r="C15" s="4" t="s">
        <v>76</v>
      </c>
      <c r="D15" s="4" t="s">
        <v>65</v>
      </c>
      <c r="E15" s="4" t="s">
        <v>23</v>
      </c>
      <c r="F15" s="4" t="str">
        <f t="shared" si="2"/>
        <v>【京王線】長沼駅 (東京都)</v>
      </c>
      <c r="G15" s="5"/>
      <c r="H15" s="5">
        <v>4143</v>
      </c>
      <c r="I15" s="5">
        <f t="shared" si="0"/>
        <v>4143</v>
      </c>
      <c r="J15" s="5">
        <f t="shared" si="1"/>
        <v>1</v>
      </c>
      <c r="K15" s="4">
        <v>2016</v>
      </c>
      <c r="L15" s="3"/>
      <c r="P15" s="18" t="s">
        <v>46</v>
      </c>
      <c r="Q15" s="18" t="s">
        <v>62</v>
      </c>
    </row>
    <row r="16" spans="2:18" x14ac:dyDescent="0.15">
      <c r="B16" s="6">
        <v>15</v>
      </c>
      <c r="C16" s="4" t="s">
        <v>75</v>
      </c>
      <c r="D16" s="4" t="s">
        <v>65</v>
      </c>
      <c r="E16" s="4" t="s">
        <v>71</v>
      </c>
      <c r="F16" s="4" t="str">
        <f t="shared" si="2"/>
        <v>【JR】西八王子駅</v>
      </c>
      <c r="G16" s="5">
        <v>32302</v>
      </c>
      <c r="H16" s="5"/>
      <c r="I16" s="5">
        <f t="shared" si="0"/>
        <v>64604</v>
      </c>
      <c r="J16" s="5">
        <f t="shared" si="1"/>
        <v>1</v>
      </c>
      <c r="K16" s="4">
        <v>2016</v>
      </c>
      <c r="L16" s="3"/>
      <c r="P16" s="18" t="s">
        <v>45</v>
      </c>
      <c r="Q16" s="18" t="s">
        <v>61</v>
      </c>
    </row>
    <row r="17" spans="2:17" x14ac:dyDescent="0.15">
      <c r="B17" s="6">
        <v>16</v>
      </c>
      <c r="C17" s="4" t="s">
        <v>74</v>
      </c>
      <c r="D17" s="4" t="s">
        <v>65</v>
      </c>
      <c r="E17" s="4" t="s">
        <v>23</v>
      </c>
      <c r="F17" s="4" t="str">
        <f t="shared" si="2"/>
        <v>【京王線】狭間駅</v>
      </c>
      <c r="G17" s="5"/>
      <c r="H17" s="5">
        <v>7720</v>
      </c>
      <c r="I17" s="5">
        <f t="shared" si="0"/>
        <v>7720</v>
      </c>
      <c r="J17" s="5">
        <f t="shared" si="1"/>
        <v>1</v>
      </c>
      <c r="K17" s="4">
        <v>2016</v>
      </c>
      <c r="L17" s="3"/>
      <c r="P17" s="18" t="s">
        <v>44</v>
      </c>
      <c r="Q17" s="18" t="s">
        <v>58</v>
      </c>
    </row>
    <row r="18" spans="2:17" x14ac:dyDescent="0.15">
      <c r="B18" s="6">
        <v>17</v>
      </c>
      <c r="C18" s="4" t="s">
        <v>73</v>
      </c>
      <c r="D18" s="4" t="s">
        <v>65</v>
      </c>
      <c r="E18" s="4" t="s">
        <v>71</v>
      </c>
      <c r="F18" s="4" t="str">
        <f t="shared" si="2"/>
        <v>【JR】八王子駅</v>
      </c>
      <c r="G18" s="5">
        <v>85093</v>
      </c>
      <c r="H18" s="5"/>
      <c r="I18" s="5">
        <f t="shared" si="0"/>
        <v>170186</v>
      </c>
      <c r="J18" s="5">
        <f t="shared" si="1"/>
        <v>1</v>
      </c>
      <c r="K18" s="4">
        <v>2016</v>
      </c>
      <c r="L18" s="3"/>
      <c r="P18" s="18" t="s">
        <v>43</v>
      </c>
      <c r="Q18" s="18" t="s">
        <v>55</v>
      </c>
    </row>
    <row r="19" spans="2:17" x14ac:dyDescent="0.15">
      <c r="B19" s="6">
        <v>18</v>
      </c>
      <c r="C19" s="4" t="s">
        <v>72</v>
      </c>
      <c r="D19" s="4" t="s">
        <v>65</v>
      </c>
      <c r="E19" s="4" t="s">
        <v>71</v>
      </c>
      <c r="F19" s="4" t="str">
        <f t="shared" si="2"/>
        <v>【JR】八王子みなみ野駅</v>
      </c>
      <c r="G19" s="5">
        <v>17991</v>
      </c>
      <c r="H19" s="5"/>
      <c r="I19" s="5">
        <f t="shared" si="0"/>
        <v>35982</v>
      </c>
      <c r="J19" s="5">
        <f t="shared" si="1"/>
        <v>1</v>
      </c>
      <c r="K19" s="4">
        <v>2016</v>
      </c>
      <c r="L19" s="3"/>
      <c r="P19" s="18" t="s">
        <v>38</v>
      </c>
      <c r="Q19" s="18" t="s">
        <v>52</v>
      </c>
    </row>
    <row r="20" spans="2:17" x14ac:dyDescent="0.15">
      <c r="B20" s="6">
        <v>19</v>
      </c>
      <c r="C20" s="4" t="s">
        <v>70</v>
      </c>
      <c r="D20" s="4" t="s">
        <v>65</v>
      </c>
      <c r="E20" s="4" t="s">
        <v>20</v>
      </c>
      <c r="F20" s="4" t="str">
        <f t="shared" si="2"/>
        <v>【多摩モノレール】松が谷駅</v>
      </c>
      <c r="G20" s="5">
        <v>1218</v>
      </c>
      <c r="H20" s="5">
        <v>2486</v>
      </c>
      <c r="I20" s="5">
        <f t="shared" si="0"/>
        <v>2486</v>
      </c>
      <c r="J20" s="5">
        <f t="shared" si="1"/>
        <v>1</v>
      </c>
      <c r="K20" s="4">
        <v>2016</v>
      </c>
      <c r="L20" s="3"/>
      <c r="P20" s="18" t="s">
        <v>35</v>
      </c>
      <c r="Q20" s="18" t="s">
        <v>51</v>
      </c>
    </row>
    <row r="21" spans="2:17" x14ac:dyDescent="0.15">
      <c r="B21" s="6">
        <v>20</v>
      </c>
      <c r="C21" s="4" t="s">
        <v>69</v>
      </c>
      <c r="D21" s="4" t="s">
        <v>65</v>
      </c>
      <c r="E21" s="4" t="s">
        <v>23</v>
      </c>
      <c r="F21" s="4" t="str">
        <f t="shared" si="2"/>
        <v>【京王線】南大沢駅</v>
      </c>
      <c r="G21" s="5"/>
      <c r="H21" s="5">
        <v>64057</v>
      </c>
      <c r="I21" s="5">
        <f t="shared" si="0"/>
        <v>64057</v>
      </c>
      <c r="J21" s="5">
        <f t="shared" si="1"/>
        <v>1</v>
      </c>
      <c r="K21" s="4">
        <v>2016</v>
      </c>
      <c r="L21" s="3"/>
      <c r="P21" s="18" t="s">
        <v>34</v>
      </c>
      <c r="Q21" s="18" t="s">
        <v>50</v>
      </c>
    </row>
    <row r="22" spans="2:17" x14ac:dyDescent="0.15">
      <c r="B22" s="6">
        <v>21</v>
      </c>
      <c r="C22" s="4" t="s">
        <v>68</v>
      </c>
      <c r="D22" s="4" t="s">
        <v>65</v>
      </c>
      <c r="E22" s="4" t="s">
        <v>23</v>
      </c>
      <c r="F22" s="4" t="str">
        <f t="shared" si="2"/>
        <v>【京王線】めじろ台駅</v>
      </c>
      <c r="G22" s="5"/>
      <c r="H22" s="5">
        <v>17832</v>
      </c>
      <c r="I22" s="5">
        <f t="shared" si="0"/>
        <v>17832</v>
      </c>
      <c r="J22" s="5">
        <f t="shared" si="1"/>
        <v>1</v>
      </c>
      <c r="K22" s="4">
        <v>2016</v>
      </c>
      <c r="L22" s="3"/>
      <c r="P22" s="18" t="s">
        <v>33</v>
      </c>
      <c r="Q22" s="18" t="s">
        <v>25</v>
      </c>
    </row>
    <row r="23" spans="2:17" x14ac:dyDescent="0.15">
      <c r="B23" s="6">
        <v>22</v>
      </c>
      <c r="C23" s="4" t="s">
        <v>67</v>
      </c>
      <c r="D23" s="4" t="s">
        <v>65</v>
      </c>
      <c r="E23" s="4" t="s">
        <v>23</v>
      </c>
      <c r="F23" s="4" t="str">
        <f t="shared" si="2"/>
        <v>【京王線】山田駅 (東京都)</v>
      </c>
      <c r="G23" s="5"/>
      <c r="H23" s="5">
        <v>5221</v>
      </c>
      <c r="I23" s="5">
        <f t="shared" si="0"/>
        <v>5221</v>
      </c>
      <c r="J23" s="5">
        <f t="shared" si="1"/>
        <v>1</v>
      </c>
      <c r="K23" s="4">
        <v>2016</v>
      </c>
      <c r="L23" s="3"/>
      <c r="P23" s="18" t="s">
        <v>32</v>
      </c>
      <c r="Q23" s="18" t="s">
        <v>24</v>
      </c>
    </row>
    <row r="24" spans="2:17" x14ac:dyDescent="0.15">
      <c r="B24" s="6">
        <v>23</v>
      </c>
      <c r="C24" s="4" t="s">
        <v>66</v>
      </c>
      <c r="D24" s="4" t="s">
        <v>65</v>
      </c>
      <c r="E24" s="4" t="s">
        <v>20</v>
      </c>
      <c r="F24" s="4" t="str">
        <f t="shared" si="2"/>
        <v>【多摩モノレール】多摩センター</v>
      </c>
      <c r="G24" s="5">
        <v>18535</v>
      </c>
      <c r="H24" s="5">
        <v>37036</v>
      </c>
      <c r="I24" s="5">
        <f t="shared" si="0"/>
        <v>37036</v>
      </c>
      <c r="J24" s="5">
        <f t="shared" si="1"/>
        <v>1</v>
      </c>
      <c r="K24" s="4">
        <v>2016</v>
      </c>
      <c r="L24" s="3"/>
      <c r="P24" s="18" t="s">
        <v>28</v>
      </c>
    </row>
    <row r="25" spans="2:17" x14ac:dyDescent="0.15">
      <c r="B25" s="6">
        <v>24</v>
      </c>
      <c r="C25" s="4" t="s">
        <v>64</v>
      </c>
      <c r="D25" s="4" t="s">
        <v>40</v>
      </c>
      <c r="E25" s="4" t="s">
        <v>39</v>
      </c>
      <c r="F25" s="4" t="str">
        <f t="shared" si="2"/>
        <v>【小田急】小田急多摩センター</v>
      </c>
      <c r="G25" s="5"/>
      <c r="H25" s="5">
        <v>50585</v>
      </c>
      <c r="I25" s="5">
        <f t="shared" si="0"/>
        <v>50585</v>
      </c>
      <c r="J25" s="5">
        <f t="shared" si="1"/>
        <v>1</v>
      </c>
      <c r="K25" s="4">
        <v>2016</v>
      </c>
      <c r="L25" s="3"/>
      <c r="P25" s="18" t="s">
        <v>27</v>
      </c>
    </row>
    <row r="26" spans="2:17" x14ac:dyDescent="0.15">
      <c r="B26" s="6">
        <v>25</v>
      </c>
      <c r="C26" s="4" t="s">
        <v>63</v>
      </c>
      <c r="D26" s="4" t="s">
        <v>40</v>
      </c>
      <c r="E26" s="4" t="s">
        <v>23</v>
      </c>
      <c r="F26" s="4" t="str">
        <f t="shared" si="2"/>
        <v>【京王線】京王多摩センター</v>
      </c>
      <c r="G26" s="5"/>
      <c r="H26" s="5">
        <v>87551</v>
      </c>
      <c r="I26" s="5">
        <f t="shared" si="0"/>
        <v>87551</v>
      </c>
      <c r="J26" s="5">
        <f t="shared" si="1"/>
        <v>1</v>
      </c>
      <c r="K26" s="4">
        <v>2016</v>
      </c>
      <c r="L26" s="3"/>
      <c r="P26" s="18" t="s">
        <v>19</v>
      </c>
    </row>
    <row r="27" spans="2:17" x14ac:dyDescent="0.15">
      <c r="B27" s="6">
        <v>26</v>
      </c>
      <c r="C27" s="4" t="s">
        <v>62</v>
      </c>
      <c r="D27" s="4" t="s">
        <v>40</v>
      </c>
      <c r="E27" s="4" t="s">
        <v>23</v>
      </c>
      <c r="F27" s="4" t="str">
        <f t="shared" si="2"/>
        <v>【京王線】聖蹟桜ヶ丘</v>
      </c>
      <c r="G27" s="5"/>
      <c r="H27" s="5">
        <v>64376</v>
      </c>
      <c r="I27" s="5">
        <f t="shared" si="0"/>
        <v>64376</v>
      </c>
      <c r="J27" s="5">
        <f t="shared" si="1"/>
        <v>1</v>
      </c>
      <c r="K27" s="4">
        <v>2016</v>
      </c>
      <c r="L27" s="3"/>
    </row>
    <row r="28" spans="2:17" x14ac:dyDescent="0.15">
      <c r="B28" s="6">
        <v>27</v>
      </c>
      <c r="C28" s="4" t="s">
        <v>61</v>
      </c>
      <c r="D28" s="4" t="s">
        <v>40</v>
      </c>
      <c r="E28" s="4" t="s">
        <v>23</v>
      </c>
      <c r="F28" s="4" t="str">
        <f t="shared" si="2"/>
        <v>【京王線】京王永山</v>
      </c>
      <c r="G28" s="5"/>
      <c r="H28" s="5">
        <v>46036</v>
      </c>
      <c r="I28" s="5">
        <f t="shared" si="0"/>
        <v>46036</v>
      </c>
      <c r="J28" s="5">
        <f t="shared" si="1"/>
        <v>1</v>
      </c>
      <c r="K28" s="4">
        <v>2016</v>
      </c>
      <c r="L28" s="3"/>
    </row>
    <row r="29" spans="2:17" x14ac:dyDescent="0.15">
      <c r="B29" s="6">
        <v>28</v>
      </c>
      <c r="C29" s="4" t="s">
        <v>60</v>
      </c>
      <c r="D29" s="4" t="s">
        <v>40</v>
      </c>
      <c r="E29" s="4" t="s">
        <v>39</v>
      </c>
      <c r="F29" s="4" t="str">
        <f t="shared" si="2"/>
        <v>【小田急】小田急永山</v>
      </c>
      <c r="G29" s="5"/>
      <c r="H29" s="5">
        <v>31040</v>
      </c>
      <c r="I29" s="5">
        <f t="shared" si="0"/>
        <v>31040</v>
      </c>
      <c r="J29" s="5">
        <f t="shared" si="1"/>
        <v>1</v>
      </c>
      <c r="K29" s="4">
        <v>2016</v>
      </c>
      <c r="L29" s="3"/>
    </row>
    <row r="30" spans="2:17" x14ac:dyDescent="0.15">
      <c r="B30" s="6">
        <v>29</v>
      </c>
      <c r="C30" s="4" t="s">
        <v>59</v>
      </c>
      <c r="D30" s="4" t="s">
        <v>21</v>
      </c>
      <c r="E30" s="4" t="s">
        <v>37</v>
      </c>
      <c r="F30" s="4" t="str">
        <f t="shared" si="2"/>
        <v>【JR】豊田</v>
      </c>
      <c r="G30" s="5">
        <v>34001</v>
      </c>
      <c r="H30" s="5"/>
      <c r="I30" s="5">
        <f t="shared" si="0"/>
        <v>68002</v>
      </c>
      <c r="J30" s="5">
        <f t="shared" si="1"/>
        <v>1</v>
      </c>
      <c r="K30" s="4">
        <v>2016</v>
      </c>
      <c r="L30" s="3"/>
    </row>
    <row r="31" spans="2:17" x14ac:dyDescent="0.15">
      <c r="B31" s="6">
        <v>30</v>
      </c>
      <c r="C31" s="4" t="s">
        <v>36</v>
      </c>
      <c r="D31" s="4" t="s">
        <v>21</v>
      </c>
      <c r="E31" s="4" t="s">
        <v>54</v>
      </c>
      <c r="F31" s="4" t="str">
        <f t="shared" si="2"/>
        <v>【JR】日野</v>
      </c>
      <c r="G31" s="5">
        <v>27312</v>
      </c>
      <c r="H31" s="5"/>
      <c r="I31" s="5">
        <f t="shared" si="0"/>
        <v>54624</v>
      </c>
      <c r="J31" s="5">
        <f t="shared" si="1"/>
        <v>1</v>
      </c>
      <c r="K31" s="4">
        <v>2016</v>
      </c>
      <c r="L31" s="3"/>
      <c r="O31" s="39" t="s">
        <v>154</v>
      </c>
      <c r="P31" s="39" t="s">
        <v>169</v>
      </c>
    </row>
    <row r="32" spans="2:17" x14ac:dyDescent="0.15">
      <c r="B32" s="6">
        <v>31</v>
      </c>
      <c r="C32" s="4" t="s">
        <v>58</v>
      </c>
      <c r="D32" s="4" t="s">
        <v>21</v>
      </c>
      <c r="E32" s="4" t="s">
        <v>23</v>
      </c>
      <c r="F32" s="4" t="str">
        <f t="shared" si="2"/>
        <v>【京王線】高幡不動</v>
      </c>
      <c r="G32" s="5"/>
      <c r="H32" s="5">
        <v>60069</v>
      </c>
      <c r="I32" s="5">
        <f t="shared" si="0"/>
        <v>60069</v>
      </c>
      <c r="J32" s="5">
        <f t="shared" si="1"/>
        <v>1</v>
      </c>
      <c r="K32" s="4">
        <v>2016</v>
      </c>
      <c r="L32" s="3"/>
      <c r="O32" s="18" t="str">
        <f>IF(乗客人数!P32="","",VLOOKUP(乗客人数!P32,乗客人数!F3:I61,4,FALSE))</f>
        <v/>
      </c>
      <c r="P32" s="18" t="str">
        <f>IF(計算シート!F16="","",IF(計算シート!G16="","","【"&amp;計算シート!F16&amp;"】"&amp;計算シート!G16))</f>
        <v/>
      </c>
    </row>
    <row r="33" spans="2:16" x14ac:dyDescent="0.15">
      <c r="B33" s="6">
        <v>32</v>
      </c>
      <c r="C33" s="4" t="s">
        <v>58</v>
      </c>
      <c r="D33" s="4" t="s">
        <v>21</v>
      </c>
      <c r="E33" s="4" t="s">
        <v>20</v>
      </c>
      <c r="F33" s="4" t="str">
        <f t="shared" si="2"/>
        <v>【多摩モノレール】高幡不動</v>
      </c>
      <c r="G33" s="5">
        <v>13872</v>
      </c>
      <c r="H33" s="5">
        <v>27670</v>
      </c>
      <c r="I33" s="5">
        <f t="shared" si="0"/>
        <v>27670</v>
      </c>
      <c r="J33" s="5">
        <f t="shared" si="1"/>
        <v>1</v>
      </c>
      <c r="K33" s="4">
        <v>2016</v>
      </c>
      <c r="L33" s="3" t="s">
        <v>57</v>
      </c>
      <c r="O33" s="18" t="str">
        <f>IF(乗客人数!P33="","",VLOOKUP(乗客人数!P33,乗客人数!F4:I62,4,FALSE))</f>
        <v/>
      </c>
      <c r="P33" s="18" t="str">
        <f>IF(計算シート!F17="","",IF(計算シート!G17="","","【"&amp;計算シート!F17&amp;"】"&amp;計算シート!G17))</f>
        <v/>
      </c>
    </row>
    <row r="34" spans="2:16" x14ac:dyDescent="0.15">
      <c r="B34" s="6">
        <v>33</v>
      </c>
      <c r="C34" s="4" t="s">
        <v>56</v>
      </c>
      <c r="D34" s="4" t="s">
        <v>42</v>
      </c>
      <c r="E34" s="4" t="s">
        <v>54</v>
      </c>
      <c r="F34" s="4" t="str">
        <f t="shared" si="2"/>
        <v>【JR】拝島</v>
      </c>
      <c r="G34" s="5">
        <v>30024</v>
      </c>
      <c r="H34" s="5"/>
      <c r="I34" s="5">
        <f t="shared" si="0"/>
        <v>60048</v>
      </c>
      <c r="J34" s="5">
        <f t="shared" si="1"/>
        <v>1</v>
      </c>
      <c r="K34" s="4">
        <v>2016</v>
      </c>
      <c r="L34" s="3"/>
      <c r="O34" s="18" t="str">
        <f>IF(乗客人数!P34="","",VLOOKUP(乗客人数!P34,乗客人数!F5:I63,4,FALSE))</f>
        <v/>
      </c>
      <c r="P34" s="18" t="str">
        <f>IF(計算シート!F18="","",IF(計算シート!G18="","","【"&amp;計算シート!F18&amp;"】"&amp;計算シート!G18))</f>
        <v/>
      </c>
    </row>
    <row r="35" spans="2:16" x14ac:dyDescent="0.15">
      <c r="B35" s="6">
        <v>34</v>
      </c>
      <c r="C35" s="4" t="s">
        <v>55</v>
      </c>
      <c r="D35" s="4" t="s">
        <v>18</v>
      </c>
      <c r="E35" s="4" t="s">
        <v>49</v>
      </c>
      <c r="F35" s="4" t="str">
        <f t="shared" si="2"/>
        <v>【京王線】橋本</v>
      </c>
      <c r="G35" s="5"/>
      <c r="H35" s="5">
        <v>95914</v>
      </c>
      <c r="I35" s="5">
        <f t="shared" ref="I35:I61" si="3">IF(H35="",G35*2,H35)</f>
        <v>95914</v>
      </c>
      <c r="J35" s="5">
        <f t="shared" ref="J35:J61" si="4">COUNTIF($I$3:$I$61,I35)</f>
        <v>1</v>
      </c>
      <c r="K35" s="4">
        <v>2016</v>
      </c>
      <c r="L35" s="3"/>
    </row>
    <row r="36" spans="2:16" x14ac:dyDescent="0.15">
      <c r="B36" s="6">
        <v>35</v>
      </c>
      <c r="C36" s="4" t="s">
        <v>53</v>
      </c>
      <c r="D36" s="4" t="s">
        <v>47</v>
      </c>
      <c r="E36" s="4" t="s">
        <v>54</v>
      </c>
      <c r="F36" s="4" t="str">
        <f t="shared" si="2"/>
        <v>【JR】町田</v>
      </c>
      <c r="G36" s="5">
        <v>112447</v>
      </c>
      <c r="H36" s="5"/>
      <c r="I36" s="5">
        <f t="shared" si="3"/>
        <v>224894</v>
      </c>
      <c r="J36" s="5">
        <f t="shared" si="4"/>
        <v>1</v>
      </c>
      <c r="K36" s="4">
        <v>2016</v>
      </c>
      <c r="L36" s="3"/>
    </row>
    <row r="37" spans="2:16" x14ac:dyDescent="0.15">
      <c r="B37" s="6">
        <v>36</v>
      </c>
      <c r="C37" s="4" t="s">
        <v>53</v>
      </c>
      <c r="D37" s="4" t="s">
        <v>47</v>
      </c>
      <c r="E37" s="4" t="s">
        <v>39</v>
      </c>
      <c r="F37" s="4" t="str">
        <f t="shared" si="2"/>
        <v>【小田急】町田</v>
      </c>
      <c r="G37" s="5"/>
      <c r="H37" s="5">
        <v>291802</v>
      </c>
      <c r="I37" s="5">
        <f t="shared" si="3"/>
        <v>291802</v>
      </c>
      <c r="J37" s="5">
        <f t="shared" si="4"/>
        <v>1</v>
      </c>
      <c r="K37" s="4">
        <v>2016</v>
      </c>
      <c r="L37" s="3"/>
    </row>
    <row r="38" spans="2:16" x14ac:dyDescent="0.15">
      <c r="B38" s="6">
        <v>37</v>
      </c>
      <c r="C38" s="4" t="s">
        <v>52</v>
      </c>
      <c r="D38" s="4" t="s">
        <v>21</v>
      </c>
      <c r="E38" s="4" t="s">
        <v>23</v>
      </c>
      <c r="F38" s="4" t="str">
        <f t="shared" si="2"/>
        <v>【京王線】平山城址公園</v>
      </c>
      <c r="G38" s="5"/>
      <c r="H38" s="5">
        <v>8806</v>
      </c>
      <c r="I38" s="5">
        <f t="shared" si="3"/>
        <v>8806</v>
      </c>
      <c r="J38" s="5">
        <f t="shared" si="4"/>
        <v>1</v>
      </c>
      <c r="K38" s="4">
        <v>2016</v>
      </c>
      <c r="L38" s="3"/>
    </row>
    <row r="39" spans="2:16" x14ac:dyDescent="0.15">
      <c r="B39" s="6">
        <v>38</v>
      </c>
      <c r="C39" s="4" t="s">
        <v>51</v>
      </c>
      <c r="D39" s="4" t="s">
        <v>21</v>
      </c>
      <c r="E39" s="4" t="s">
        <v>23</v>
      </c>
      <c r="F39" s="4" t="str">
        <f t="shared" si="2"/>
        <v>【京王線】多摩動物公園</v>
      </c>
      <c r="G39" s="5"/>
      <c r="H39" s="5">
        <v>6483</v>
      </c>
      <c r="I39" s="5">
        <f t="shared" si="3"/>
        <v>6483</v>
      </c>
      <c r="J39" s="5">
        <f t="shared" si="4"/>
        <v>1</v>
      </c>
      <c r="K39" s="4">
        <v>2016</v>
      </c>
      <c r="L39" s="3"/>
    </row>
    <row r="40" spans="2:16" x14ac:dyDescent="0.15">
      <c r="B40" s="6">
        <v>39</v>
      </c>
      <c r="C40" s="4" t="s">
        <v>51</v>
      </c>
      <c r="D40" s="4" t="s">
        <v>21</v>
      </c>
      <c r="E40" s="4" t="s">
        <v>20</v>
      </c>
      <c r="F40" s="4" t="str">
        <f t="shared" si="2"/>
        <v>【多摩モノレール】多摩動物公園</v>
      </c>
      <c r="G40" s="5"/>
      <c r="H40" s="5">
        <v>2289</v>
      </c>
      <c r="I40" s="5">
        <f t="shared" si="3"/>
        <v>2289</v>
      </c>
      <c r="J40" s="5">
        <f t="shared" si="4"/>
        <v>1</v>
      </c>
      <c r="K40" s="4">
        <v>2016</v>
      </c>
      <c r="L40" s="3"/>
    </row>
    <row r="41" spans="2:16" x14ac:dyDescent="0.15">
      <c r="B41" s="6">
        <v>40</v>
      </c>
      <c r="C41" s="4" t="s">
        <v>50</v>
      </c>
      <c r="D41" s="4" t="s">
        <v>47</v>
      </c>
      <c r="E41" s="4" t="s">
        <v>49</v>
      </c>
      <c r="F41" s="4" t="str">
        <f t="shared" si="2"/>
        <v>【京王線】多摩境</v>
      </c>
      <c r="G41" s="5"/>
      <c r="H41" s="5">
        <v>20226</v>
      </c>
      <c r="I41" s="5">
        <f t="shared" si="3"/>
        <v>20226</v>
      </c>
      <c r="J41" s="5">
        <f t="shared" si="4"/>
        <v>1</v>
      </c>
      <c r="K41" s="4">
        <v>2016</v>
      </c>
      <c r="L41" s="3"/>
    </row>
    <row r="42" spans="2:16" x14ac:dyDescent="0.15">
      <c r="B42" s="6">
        <v>41</v>
      </c>
      <c r="C42" s="4" t="s">
        <v>48</v>
      </c>
      <c r="D42" s="4" t="s">
        <v>47</v>
      </c>
      <c r="E42" s="4" t="s">
        <v>37</v>
      </c>
      <c r="F42" s="4" t="str">
        <f t="shared" si="2"/>
        <v>【JR】相原</v>
      </c>
      <c r="G42" s="5">
        <v>10610</v>
      </c>
      <c r="H42" s="5"/>
      <c r="I42" s="5">
        <f t="shared" si="3"/>
        <v>21220</v>
      </c>
      <c r="J42" s="5">
        <f t="shared" si="4"/>
        <v>1</v>
      </c>
      <c r="K42" s="4">
        <v>2016</v>
      </c>
      <c r="L42" s="3"/>
    </row>
    <row r="43" spans="2:16" x14ac:dyDescent="0.15">
      <c r="B43" s="6">
        <v>42</v>
      </c>
      <c r="C43" s="4" t="s">
        <v>46</v>
      </c>
      <c r="D43" s="4" t="s">
        <v>42</v>
      </c>
      <c r="E43" s="4" t="s">
        <v>37</v>
      </c>
      <c r="F43" s="4" t="str">
        <f t="shared" si="2"/>
        <v>【JR】昭島</v>
      </c>
      <c r="G43" s="5">
        <v>26318</v>
      </c>
      <c r="H43" s="5"/>
      <c r="I43" s="5">
        <f t="shared" si="3"/>
        <v>52636</v>
      </c>
      <c r="J43" s="5">
        <f t="shared" si="4"/>
        <v>1</v>
      </c>
      <c r="K43" s="4">
        <v>2016</v>
      </c>
      <c r="L43" s="3"/>
    </row>
    <row r="44" spans="2:16" x14ac:dyDescent="0.15">
      <c r="B44" s="6">
        <v>43</v>
      </c>
      <c r="C44" s="4" t="s">
        <v>45</v>
      </c>
      <c r="D44" s="4" t="s">
        <v>18</v>
      </c>
      <c r="E44" s="4" t="s">
        <v>37</v>
      </c>
      <c r="F44" s="4" t="str">
        <f t="shared" si="2"/>
        <v>【JR】相模湖</v>
      </c>
      <c r="G44" s="5">
        <v>2326</v>
      </c>
      <c r="H44" s="5"/>
      <c r="I44" s="5">
        <f t="shared" si="3"/>
        <v>4652</v>
      </c>
      <c r="J44" s="5">
        <f t="shared" si="4"/>
        <v>1</v>
      </c>
      <c r="K44" s="4">
        <v>2016</v>
      </c>
      <c r="L44" s="3"/>
    </row>
    <row r="45" spans="2:16" x14ac:dyDescent="0.15">
      <c r="B45" s="6">
        <v>44</v>
      </c>
      <c r="C45" s="4" t="s">
        <v>44</v>
      </c>
      <c r="D45" s="4" t="s">
        <v>42</v>
      </c>
      <c r="E45" s="4" t="s">
        <v>37</v>
      </c>
      <c r="F45" s="4" t="str">
        <f t="shared" si="2"/>
        <v>【JR】中神</v>
      </c>
      <c r="G45" s="5">
        <v>11201</v>
      </c>
      <c r="H45" s="5"/>
      <c r="I45" s="5">
        <f t="shared" si="3"/>
        <v>22402</v>
      </c>
      <c r="J45" s="5">
        <f t="shared" si="4"/>
        <v>1</v>
      </c>
      <c r="K45" s="4">
        <v>2016</v>
      </c>
      <c r="L45" s="3"/>
    </row>
    <row r="46" spans="2:16" x14ac:dyDescent="0.15">
      <c r="B46" s="6">
        <v>45</v>
      </c>
      <c r="C46" s="4" t="s">
        <v>43</v>
      </c>
      <c r="D46" s="4" t="s">
        <v>42</v>
      </c>
      <c r="E46" s="4" t="s">
        <v>37</v>
      </c>
      <c r="F46" s="4" t="str">
        <f t="shared" si="2"/>
        <v>【JR】東中神</v>
      </c>
      <c r="G46" s="5">
        <v>7105</v>
      </c>
      <c r="H46" s="5"/>
      <c r="I46" s="5">
        <f t="shared" si="3"/>
        <v>14210</v>
      </c>
      <c r="J46" s="5">
        <f t="shared" si="4"/>
        <v>1</v>
      </c>
      <c r="K46" s="4">
        <v>2016</v>
      </c>
      <c r="L46" s="3"/>
    </row>
    <row r="47" spans="2:16" x14ac:dyDescent="0.15">
      <c r="B47" s="6">
        <v>46</v>
      </c>
      <c r="C47" s="4" t="s">
        <v>41</v>
      </c>
      <c r="D47" s="4" t="s">
        <v>40</v>
      </c>
      <c r="E47" s="4" t="s">
        <v>39</v>
      </c>
      <c r="F47" s="4" t="str">
        <f t="shared" si="2"/>
        <v>【小田急】唐木田</v>
      </c>
      <c r="G47" s="5"/>
      <c r="H47" s="11">
        <v>20573</v>
      </c>
      <c r="I47" s="5">
        <f t="shared" si="3"/>
        <v>20573</v>
      </c>
      <c r="J47" s="5">
        <f t="shared" si="4"/>
        <v>1</v>
      </c>
      <c r="K47" s="4">
        <v>2016</v>
      </c>
      <c r="L47" s="3"/>
    </row>
    <row r="48" spans="2:16" x14ac:dyDescent="0.15">
      <c r="B48" s="6">
        <v>47</v>
      </c>
      <c r="C48" s="4" t="s">
        <v>38</v>
      </c>
      <c r="D48" s="4" t="s">
        <v>30</v>
      </c>
      <c r="E48" s="4" t="s">
        <v>37</v>
      </c>
      <c r="F48" s="4" t="str">
        <f t="shared" si="2"/>
        <v>【JR】立川</v>
      </c>
      <c r="G48" s="5">
        <v>165645</v>
      </c>
      <c r="H48" s="5"/>
      <c r="I48" s="5">
        <f t="shared" si="3"/>
        <v>331290</v>
      </c>
      <c r="J48" s="5">
        <f t="shared" si="4"/>
        <v>1</v>
      </c>
      <c r="K48" s="4">
        <v>2016</v>
      </c>
      <c r="L48" s="3"/>
    </row>
    <row r="49" spans="2:12" x14ac:dyDescent="0.15">
      <c r="B49" s="6">
        <v>50</v>
      </c>
      <c r="C49" s="4" t="s">
        <v>35</v>
      </c>
      <c r="D49" s="4" t="s">
        <v>16</v>
      </c>
      <c r="E49" s="4" t="s">
        <v>15</v>
      </c>
      <c r="F49" s="4" t="str">
        <f t="shared" si="2"/>
        <v>【JR】秋川</v>
      </c>
      <c r="G49" s="5">
        <v>7222</v>
      </c>
      <c r="H49" s="5"/>
      <c r="I49" s="5">
        <f t="shared" si="3"/>
        <v>14444</v>
      </c>
      <c r="J49" s="5">
        <f t="shared" si="4"/>
        <v>1</v>
      </c>
      <c r="K49" s="4">
        <v>2016</v>
      </c>
      <c r="L49" s="3"/>
    </row>
    <row r="50" spans="2:12" x14ac:dyDescent="0.15">
      <c r="B50" s="6">
        <v>51</v>
      </c>
      <c r="C50" s="4" t="s">
        <v>34</v>
      </c>
      <c r="D50" s="4" t="s">
        <v>16</v>
      </c>
      <c r="E50" s="4" t="s">
        <v>15</v>
      </c>
      <c r="F50" s="4" t="str">
        <f t="shared" si="2"/>
        <v>【JR】東秋留</v>
      </c>
      <c r="G50" s="5">
        <v>4799</v>
      </c>
      <c r="H50" s="5"/>
      <c r="I50" s="5">
        <f t="shared" si="3"/>
        <v>9598</v>
      </c>
      <c r="J50" s="5">
        <f t="shared" si="4"/>
        <v>1</v>
      </c>
      <c r="K50" s="4">
        <v>2016</v>
      </c>
      <c r="L50" s="3"/>
    </row>
    <row r="51" spans="2:12" x14ac:dyDescent="0.15">
      <c r="B51" s="6">
        <v>52</v>
      </c>
      <c r="C51" s="4" t="s">
        <v>33</v>
      </c>
      <c r="D51" s="4" t="s">
        <v>16</v>
      </c>
      <c r="E51" s="4" t="s">
        <v>15</v>
      </c>
      <c r="F51" s="4" t="str">
        <f t="shared" si="2"/>
        <v>【JR】武蔵引田</v>
      </c>
      <c r="G51" s="5">
        <v>3299</v>
      </c>
      <c r="H51" s="5"/>
      <c r="I51" s="5">
        <f t="shared" si="3"/>
        <v>6598</v>
      </c>
      <c r="J51" s="5">
        <f t="shared" si="4"/>
        <v>1</v>
      </c>
      <c r="K51" s="4">
        <v>2016</v>
      </c>
      <c r="L51" s="3"/>
    </row>
    <row r="52" spans="2:12" x14ac:dyDescent="0.15">
      <c r="B52" s="6">
        <v>53</v>
      </c>
      <c r="C52" s="4" t="s">
        <v>32</v>
      </c>
      <c r="D52" s="4" t="s">
        <v>16</v>
      </c>
      <c r="E52" s="4" t="s">
        <v>15</v>
      </c>
      <c r="F52" s="4" t="str">
        <f t="shared" si="2"/>
        <v>【JR】武蔵増戸</v>
      </c>
      <c r="G52" s="5">
        <v>2603</v>
      </c>
      <c r="H52" s="5"/>
      <c r="I52" s="5">
        <f t="shared" si="3"/>
        <v>5206</v>
      </c>
      <c r="J52" s="5">
        <f t="shared" si="4"/>
        <v>1</v>
      </c>
      <c r="K52" s="4">
        <v>2016</v>
      </c>
      <c r="L52" s="3"/>
    </row>
    <row r="53" spans="2:12" x14ac:dyDescent="0.15">
      <c r="B53" s="6">
        <v>55</v>
      </c>
      <c r="C53" s="4" t="s">
        <v>31</v>
      </c>
      <c r="D53" s="4" t="s">
        <v>30</v>
      </c>
      <c r="E53" s="4" t="s">
        <v>20</v>
      </c>
      <c r="F53" s="4" t="str">
        <f t="shared" si="2"/>
        <v>【多摩モノレール】柴崎体育館</v>
      </c>
      <c r="G53" s="5">
        <v>2124</v>
      </c>
      <c r="H53" s="5">
        <v>4101</v>
      </c>
      <c r="I53" s="5">
        <f t="shared" si="3"/>
        <v>4101</v>
      </c>
      <c r="J53" s="5">
        <f t="shared" si="4"/>
        <v>1</v>
      </c>
      <c r="K53" s="4">
        <v>2016</v>
      </c>
      <c r="L53" s="3"/>
    </row>
    <row r="54" spans="2:12" x14ac:dyDescent="0.15">
      <c r="B54" s="6">
        <v>56</v>
      </c>
      <c r="C54" s="4" t="s">
        <v>29</v>
      </c>
      <c r="D54" s="4" t="s">
        <v>21</v>
      </c>
      <c r="E54" s="4" t="s">
        <v>20</v>
      </c>
      <c r="F54" s="4" t="str">
        <f t="shared" si="2"/>
        <v>【多摩モノレール】甲州街道</v>
      </c>
      <c r="G54" s="5">
        <v>4221</v>
      </c>
      <c r="H54" s="5">
        <v>8291</v>
      </c>
      <c r="I54" s="5">
        <f t="shared" si="3"/>
        <v>8291</v>
      </c>
      <c r="J54" s="5">
        <f t="shared" si="4"/>
        <v>1</v>
      </c>
      <c r="K54" s="4">
        <v>2016</v>
      </c>
      <c r="L54" s="3"/>
    </row>
    <row r="55" spans="2:12" x14ac:dyDescent="0.15">
      <c r="B55" s="6">
        <v>57</v>
      </c>
      <c r="C55" s="4" t="s">
        <v>28</v>
      </c>
      <c r="D55" s="4" t="s">
        <v>16</v>
      </c>
      <c r="E55" s="4" t="s">
        <v>15</v>
      </c>
      <c r="F55" s="4" t="str">
        <f t="shared" si="2"/>
        <v>【JR】武蔵五日市</v>
      </c>
      <c r="G55" s="5">
        <v>4427</v>
      </c>
      <c r="H55" s="5"/>
      <c r="I55" s="5">
        <f t="shared" si="3"/>
        <v>8854</v>
      </c>
      <c r="J55" s="5">
        <f t="shared" si="4"/>
        <v>1</v>
      </c>
      <c r="K55" s="4">
        <v>2016</v>
      </c>
      <c r="L55" s="3"/>
    </row>
    <row r="56" spans="2:12" x14ac:dyDescent="0.15">
      <c r="B56" s="6">
        <v>58</v>
      </c>
      <c r="C56" s="4" t="s">
        <v>27</v>
      </c>
      <c r="D56" s="4" t="s">
        <v>18</v>
      </c>
      <c r="E56" s="4" t="s">
        <v>15</v>
      </c>
      <c r="F56" s="4" t="str">
        <f t="shared" si="2"/>
        <v>【JR】相模原</v>
      </c>
      <c r="G56" s="5">
        <v>28993</v>
      </c>
      <c r="H56" s="5"/>
      <c r="I56" s="5">
        <f t="shared" si="3"/>
        <v>57986</v>
      </c>
      <c r="J56" s="5">
        <f t="shared" si="4"/>
        <v>1</v>
      </c>
      <c r="K56" s="4">
        <v>2016</v>
      </c>
      <c r="L56" s="3"/>
    </row>
    <row r="57" spans="2:12" x14ac:dyDescent="0.15">
      <c r="B57" s="6">
        <v>59</v>
      </c>
      <c r="C57" s="4" t="s">
        <v>26</v>
      </c>
      <c r="D57" s="4" t="s">
        <v>21</v>
      </c>
      <c r="E57" s="4" t="s">
        <v>20</v>
      </c>
      <c r="F57" s="4" t="str">
        <f t="shared" si="2"/>
        <v>【多摩モノレール】程久保</v>
      </c>
      <c r="G57" s="5">
        <v>828</v>
      </c>
      <c r="H57" s="5">
        <v>1558</v>
      </c>
      <c r="I57" s="5">
        <f t="shared" si="3"/>
        <v>1558</v>
      </c>
      <c r="J57" s="5">
        <f t="shared" si="4"/>
        <v>1</v>
      </c>
      <c r="K57" s="4">
        <v>2016</v>
      </c>
      <c r="L57" s="3"/>
    </row>
    <row r="58" spans="2:12" x14ac:dyDescent="0.15">
      <c r="B58" s="6">
        <v>60</v>
      </c>
      <c r="C58" s="4" t="s">
        <v>25</v>
      </c>
      <c r="D58" s="4" t="s">
        <v>21</v>
      </c>
      <c r="E58" s="4" t="s">
        <v>23</v>
      </c>
      <c r="F58" s="4" t="str">
        <f t="shared" si="2"/>
        <v>【京王線】南平</v>
      </c>
      <c r="G58" s="5"/>
      <c r="H58" s="5">
        <v>10829</v>
      </c>
      <c r="I58" s="5">
        <f t="shared" si="3"/>
        <v>10829</v>
      </c>
      <c r="J58" s="5">
        <f t="shared" si="4"/>
        <v>1</v>
      </c>
      <c r="K58" s="4">
        <v>2016</v>
      </c>
      <c r="L58" s="3"/>
    </row>
    <row r="59" spans="2:12" x14ac:dyDescent="0.15">
      <c r="B59" s="6">
        <v>61</v>
      </c>
      <c r="C59" s="4" t="s">
        <v>24</v>
      </c>
      <c r="D59" s="4" t="s">
        <v>21</v>
      </c>
      <c r="E59" s="4" t="s">
        <v>23</v>
      </c>
      <c r="F59" s="4" t="str">
        <f t="shared" si="2"/>
        <v>【京王線】百草園</v>
      </c>
      <c r="G59" s="5"/>
      <c r="H59" s="5">
        <v>7943</v>
      </c>
      <c r="I59" s="5">
        <f t="shared" si="3"/>
        <v>7943</v>
      </c>
      <c r="J59" s="5">
        <f t="shared" si="4"/>
        <v>1</v>
      </c>
      <c r="K59" s="4">
        <v>2016</v>
      </c>
      <c r="L59" s="3"/>
    </row>
    <row r="60" spans="2:12" x14ac:dyDescent="0.15">
      <c r="B60" s="6">
        <v>62</v>
      </c>
      <c r="C60" s="4" t="s">
        <v>22</v>
      </c>
      <c r="D60" s="4" t="s">
        <v>21</v>
      </c>
      <c r="E60" s="4" t="s">
        <v>20</v>
      </c>
      <c r="F60" s="4" t="str">
        <f t="shared" si="2"/>
        <v>【多摩モノレール】万願寺</v>
      </c>
      <c r="G60" s="5">
        <v>3830</v>
      </c>
      <c r="H60" s="5">
        <v>7772</v>
      </c>
      <c r="I60" s="5">
        <f t="shared" si="3"/>
        <v>7772</v>
      </c>
      <c r="J60" s="5">
        <f t="shared" si="4"/>
        <v>1</v>
      </c>
      <c r="K60" s="4">
        <v>2016</v>
      </c>
      <c r="L60" s="3"/>
    </row>
    <row r="61" spans="2:12" x14ac:dyDescent="0.15">
      <c r="B61" s="10">
        <v>63</v>
      </c>
      <c r="C61" s="8" t="s">
        <v>19</v>
      </c>
      <c r="D61" s="8" t="s">
        <v>18</v>
      </c>
      <c r="E61" s="8" t="s">
        <v>15</v>
      </c>
      <c r="F61" s="4" t="str">
        <f t="shared" si="2"/>
        <v>【JR】南橋本</v>
      </c>
      <c r="G61" s="9">
        <v>5522</v>
      </c>
      <c r="H61" s="9"/>
      <c r="I61" s="9">
        <f t="shared" si="3"/>
        <v>11044</v>
      </c>
      <c r="J61" s="5">
        <f t="shared" si="4"/>
        <v>1</v>
      </c>
      <c r="K61" s="8">
        <v>2016</v>
      </c>
      <c r="L61" s="7"/>
    </row>
    <row r="62" spans="2:12" x14ac:dyDescent="0.15">
      <c r="G62" s="2"/>
      <c r="H62" s="2"/>
      <c r="I62" s="2"/>
      <c r="J62" s="2"/>
    </row>
    <row r="63" spans="2:12" x14ac:dyDescent="0.15">
      <c r="C63" t="s">
        <v>17</v>
      </c>
      <c r="G63" s="2"/>
      <c r="H63" s="2"/>
      <c r="I63" s="2"/>
      <c r="J63" s="2"/>
    </row>
    <row r="64" spans="2:12" x14ac:dyDescent="0.15">
      <c r="G64" s="2"/>
      <c r="H64" s="2"/>
      <c r="I64" s="2"/>
      <c r="J64" s="2"/>
    </row>
    <row r="65" spans="7:10" x14ac:dyDescent="0.15">
      <c r="G65" s="2"/>
      <c r="H65" s="2"/>
      <c r="I65" s="2"/>
      <c r="J65" s="2"/>
    </row>
    <row r="66" spans="7:10" x14ac:dyDescent="0.15">
      <c r="G66" s="2"/>
      <c r="H66" s="2"/>
      <c r="I66" s="2"/>
      <c r="J66" s="2"/>
    </row>
    <row r="67" spans="7:10" x14ac:dyDescent="0.15">
      <c r="G67" s="2"/>
      <c r="H67" s="2"/>
      <c r="I67" s="2"/>
      <c r="J67" s="2"/>
    </row>
    <row r="68" spans="7:10" x14ac:dyDescent="0.15">
      <c r="G68" s="2"/>
      <c r="H68" s="2"/>
      <c r="I68" s="2"/>
      <c r="J68" s="2"/>
    </row>
    <row r="69" spans="7:10" x14ac:dyDescent="0.15">
      <c r="G69" s="2"/>
      <c r="H69" s="2"/>
      <c r="I69" s="2"/>
      <c r="J69" s="2"/>
    </row>
    <row r="70" spans="7:10" x14ac:dyDescent="0.15">
      <c r="G70" s="2"/>
      <c r="H70" s="2"/>
      <c r="I70" s="2"/>
      <c r="J70" s="2"/>
    </row>
    <row r="71" spans="7:10" x14ac:dyDescent="0.15">
      <c r="G71" s="2"/>
      <c r="H71" s="2"/>
      <c r="I71" s="2"/>
      <c r="J71" s="2"/>
    </row>
    <row r="72" spans="7:10" x14ac:dyDescent="0.15">
      <c r="G72" s="2"/>
      <c r="H72" s="2"/>
      <c r="I72" s="2"/>
      <c r="J72" s="2"/>
    </row>
    <row r="73" spans="7:10" x14ac:dyDescent="0.15">
      <c r="G73" s="2"/>
      <c r="H73" s="2"/>
      <c r="I73" s="2"/>
      <c r="J73" s="2"/>
    </row>
    <row r="74" spans="7:10" x14ac:dyDescent="0.15">
      <c r="G74" s="2"/>
      <c r="H74" s="2"/>
      <c r="I74" s="2"/>
      <c r="J74" s="2"/>
    </row>
    <row r="75" spans="7:10" x14ac:dyDescent="0.15">
      <c r="G75" s="2"/>
      <c r="H75" s="2"/>
      <c r="I75" s="2"/>
      <c r="J75" s="2"/>
    </row>
    <row r="76" spans="7:10" x14ac:dyDescent="0.15">
      <c r="G76" s="2"/>
      <c r="H76" s="2"/>
      <c r="I76" s="2"/>
      <c r="J76" s="2"/>
    </row>
    <row r="77" spans="7:10" x14ac:dyDescent="0.15">
      <c r="G77" s="2"/>
      <c r="H77" s="2"/>
      <c r="I77" s="2"/>
      <c r="J77" s="2"/>
    </row>
    <row r="78" spans="7:10" x14ac:dyDescent="0.15">
      <c r="G78" s="2"/>
      <c r="H78" s="2"/>
      <c r="I78" s="2"/>
      <c r="J78" s="2"/>
    </row>
    <row r="79" spans="7:10" x14ac:dyDescent="0.15">
      <c r="G79" s="2"/>
      <c r="H79" s="2"/>
      <c r="I79" s="2"/>
      <c r="J79" s="2"/>
    </row>
    <row r="80" spans="7:10" x14ac:dyDescent="0.15">
      <c r="G80" s="2"/>
      <c r="H80" s="2"/>
      <c r="I80" s="2"/>
      <c r="J80" s="2"/>
    </row>
    <row r="81" spans="7:10" x14ac:dyDescent="0.15">
      <c r="G81" s="2"/>
      <c r="H81" s="2"/>
      <c r="I81" s="2"/>
      <c r="J81" s="2"/>
    </row>
    <row r="82" spans="7:10" x14ac:dyDescent="0.15">
      <c r="G82" s="2"/>
      <c r="H82" s="2"/>
      <c r="I82" s="2"/>
      <c r="J82" s="2"/>
    </row>
    <row r="83" spans="7:10" x14ac:dyDescent="0.15">
      <c r="G83" s="2"/>
      <c r="H83" s="2"/>
      <c r="I83" s="2"/>
      <c r="J83" s="2"/>
    </row>
    <row r="84" spans="7:10" x14ac:dyDescent="0.15">
      <c r="G84" s="2"/>
      <c r="H84" s="2"/>
      <c r="I84" s="2"/>
      <c r="J84" s="2"/>
    </row>
    <row r="85" spans="7:10" x14ac:dyDescent="0.15">
      <c r="G85" s="2"/>
      <c r="H85" s="2"/>
      <c r="I85" s="2"/>
      <c r="J85" s="2"/>
    </row>
    <row r="86" spans="7:10" x14ac:dyDescent="0.15">
      <c r="G86" s="2"/>
      <c r="H86" s="2"/>
      <c r="I86" s="2"/>
      <c r="J86" s="2"/>
    </row>
    <row r="87" spans="7:10" x14ac:dyDescent="0.15">
      <c r="G87" s="2"/>
      <c r="H87" s="2"/>
      <c r="I87" s="2"/>
      <c r="J87" s="2"/>
    </row>
    <row r="88" spans="7:10" x14ac:dyDescent="0.15">
      <c r="G88" s="2"/>
      <c r="H88" s="2"/>
      <c r="I88" s="2"/>
      <c r="J88" s="2"/>
    </row>
    <row r="89" spans="7:10" x14ac:dyDescent="0.15">
      <c r="G89" s="2"/>
      <c r="H89" s="2"/>
      <c r="I89" s="2"/>
      <c r="J89" s="2"/>
    </row>
    <row r="90" spans="7:10" x14ac:dyDescent="0.15">
      <c r="G90" s="2"/>
      <c r="H90" s="2"/>
      <c r="I90" s="2"/>
      <c r="J90" s="2"/>
    </row>
    <row r="91" spans="7:10" x14ac:dyDescent="0.15">
      <c r="G91" s="2"/>
      <c r="H91" s="2"/>
      <c r="I91" s="2"/>
      <c r="J91" s="2"/>
    </row>
    <row r="92" spans="7:10" x14ac:dyDescent="0.15">
      <c r="G92" s="2"/>
      <c r="H92" s="2"/>
      <c r="I92" s="2"/>
      <c r="J92" s="2"/>
    </row>
    <row r="93" spans="7:10" x14ac:dyDescent="0.15">
      <c r="G93" s="2"/>
      <c r="H93" s="2"/>
      <c r="I93" s="2"/>
      <c r="J93" s="2"/>
    </row>
    <row r="94" spans="7:10" x14ac:dyDescent="0.15">
      <c r="G94" s="2"/>
      <c r="H94" s="2"/>
      <c r="I94" s="2"/>
      <c r="J94" s="2"/>
    </row>
    <row r="95" spans="7:10" x14ac:dyDescent="0.15">
      <c r="G95" s="2"/>
      <c r="H95" s="2"/>
      <c r="I95" s="2"/>
      <c r="J95" s="2"/>
    </row>
    <row r="96" spans="7:10" x14ac:dyDescent="0.15">
      <c r="G96" s="2"/>
      <c r="H96" s="2"/>
      <c r="I96" s="2"/>
      <c r="J96" s="2"/>
    </row>
    <row r="97" spans="7:10" x14ac:dyDescent="0.15">
      <c r="G97" s="2"/>
      <c r="H97" s="2"/>
      <c r="I97" s="2"/>
      <c r="J97" s="2"/>
    </row>
    <row r="98" spans="7:10" x14ac:dyDescent="0.15">
      <c r="G98" s="2"/>
      <c r="H98" s="2"/>
      <c r="I98" s="2"/>
      <c r="J98" s="2"/>
    </row>
    <row r="99" spans="7:10" x14ac:dyDescent="0.15">
      <c r="G99" s="2"/>
      <c r="H99" s="2"/>
      <c r="I99" s="2"/>
      <c r="J99" s="2"/>
    </row>
    <row r="100" spans="7:10" x14ac:dyDescent="0.15">
      <c r="G100" s="2"/>
      <c r="H100" s="2"/>
      <c r="I100" s="2"/>
      <c r="J100" s="2"/>
    </row>
    <row r="101" spans="7:10" x14ac:dyDescent="0.15">
      <c r="G101" s="2"/>
      <c r="H101" s="2"/>
      <c r="I101" s="2"/>
      <c r="J101" s="2"/>
    </row>
    <row r="102" spans="7:10" x14ac:dyDescent="0.15">
      <c r="G102" s="2"/>
      <c r="H102" s="2"/>
      <c r="I102" s="2"/>
      <c r="J102" s="2"/>
    </row>
    <row r="103" spans="7:10" x14ac:dyDescent="0.15">
      <c r="G103" s="2"/>
      <c r="H103" s="2"/>
      <c r="I103" s="2"/>
      <c r="J103" s="2"/>
    </row>
    <row r="104" spans="7:10" x14ac:dyDescent="0.15">
      <c r="G104" s="2"/>
      <c r="H104" s="2"/>
      <c r="I104" s="2"/>
      <c r="J104" s="2"/>
    </row>
    <row r="105" spans="7:10" x14ac:dyDescent="0.15">
      <c r="G105" s="2"/>
      <c r="H105" s="2"/>
      <c r="I105" s="2"/>
      <c r="J105" s="2"/>
    </row>
    <row r="106" spans="7:10" x14ac:dyDescent="0.15">
      <c r="G106" s="2"/>
      <c r="H106" s="2"/>
      <c r="I106" s="2"/>
      <c r="J106" s="2"/>
    </row>
    <row r="107" spans="7:10" x14ac:dyDescent="0.15">
      <c r="G107" s="2"/>
      <c r="H107" s="2"/>
      <c r="I107" s="2"/>
      <c r="J107" s="2"/>
    </row>
    <row r="108" spans="7:10" x14ac:dyDescent="0.15">
      <c r="G108" s="2"/>
      <c r="H108" s="2"/>
      <c r="I108" s="2"/>
      <c r="J108" s="2"/>
    </row>
    <row r="109" spans="7:10" x14ac:dyDescent="0.15">
      <c r="G109" s="2"/>
      <c r="H109" s="2"/>
      <c r="I109" s="2"/>
      <c r="J109" s="2"/>
    </row>
    <row r="110" spans="7:10" x14ac:dyDescent="0.15">
      <c r="G110" s="2"/>
      <c r="H110" s="2"/>
      <c r="I110" s="2"/>
      <c r="J110" s="2"/>
    </row>
    <row r="111" spans="7:10" x14ac:dyDescent="0.15">
      <c r="G111" s="2"/>
      <c r="H111" s="2"/>
      <c r="I111" s="2"/>
      <c r="J111" s="2"/>
    </row>
    <row r="112" spans="7:10" x14ac:dyDescent="0.15">
      <c r="G112" s="2"/>
      <c r="H112" s="2"/>
      <c r="I112" s="2"/>
      <c r="J112" s="2"/>
    </row>
    <row r="113" spans="7:10" x14ac:dyDescent="0.15">
      <c r="G113" s="2"/>
      <c r="H113" s="2"/>
      <c r="I113" s="2"/>
      <c r="J113" s="2"/>
    </row>
    <row r="114" spans="7:10" x14ac:dyDescent="0.15">
      <c r="G114" s="2"/>
      <c r="H114" s="2"/>
      <c r="I114" s="2"/>
      <c r="J114" s="2"/>
    </row>
    <row r="115" spans="7:10" x14ac:dyDescent="0.15">
      <c r="G115" s="2"/>
      <c r="H115" s="2"/>
      <c r="I115" s="2"/>
      <c r="J115" s="2"/>
    </row>
    <row r="116" spans="7:10" x14ac:dyDescent="0.15">
      <c r="G116" s="2"/>
      <c r="H116" s="2"/>
      <c r="I116" s="2"/>
      <c r="J116" s="2"/>
    </row>
    <row r="117" spans="7:10" x14ac:dyDescent="0.15">
      <c r="G117" s="2"/>
      <c r="H117" s="2"/>
      <c r="I117" s="2"/>
      <c r="J117" s="2"/>
    </row>
    <row r="118" spans="7:10" x14ac:dyDescent="0.15">
      <c r="G118" s="2"/>
      <c r="H118" s="2"/>
      <c r="I118" s="2"/>
      <c r="J118" s="2"/>
    </row>
    <row r="119" spans="7:10" x14ac:dyDescent="0.15">
      <c r="G119" s="2"/>
      <c r="H119" s="2"/>
      <c r="I119" s="2"/>
      <c r="J119" s="2"/>
    </row>
    <row r="120" spans="7:10" x14ac:dyDescent="0.15">
      <c r="G120" s="2"/>
      <c r="H120" s="2"/>
      <c r="I120" s="2"/>
      <c r="J120" s="2"/>
    </row>
    <row r="121" spans="7:10" x14ac:dyDescent="0.15">
      <c r="G121" s="2"/>
      <c r="H121" s="2"/>
      <c r="I121" s="2"/>
      <c r="J121" s="2"/>
    </row>
    <row r="122" spans="7:10" x14ac:dyDescent="0.15">
      <c r="G122" s="2"/>
      <c r="H122" s="2"/>
      <c r="I122" s="2"/>
      <c r="J122" s="2"/>
    </row>
    <row r="123" spans="7:10" x14ac:dyDescent="0.15">
      <c r="G123" s="2"/>
      <c r="H123" s="2"/>
      <c r="I123" s="2"/>
      <c r="J123" s="2"/>
    </row>
    <row r="124" spans="7:10" x14ac:dyDescent="0.15">
      <c r="G124" s="2"/>
      <c r="H124" s="2"/>
      <c r="I124" s="2"/>
      <c r="J124" s="2"/>
    </row>
    <row r="125" spans="7:10" x14ac:dyDescent="0.15">
      <c r="G125" s="2"/>
      <c r="H125" s="2"/>
      <c r="I125" s="2"/>
      <c r="J125" s="2"/>
    </row>
    <row r="126" spans="7:10" x14ac:dyDescent="0.15">
      <c r="G126" s="2"/>
      <c r="H126" s="2"/>
      <c r="I126" s="2"/>
      <c r="J126" s="2"/>
    </row>
    <row r="127" spans="7:10" x14ac:dyDescent="0.15">
      <c r="G127" s="2"/>
      <c r="H127" s="2"/>
      <c r="I127" s="2"/>
      <c r="J127" s="2"/>
    </row>
    <row r="128" spans="7:10" x14ac:dyDescent="0.15">
      <c r="G128" s="2"/>
      <c r="H128" s="2"/>
      <c r="I128" s="2"/>
      <c r="J128" s="2"/>
    </row>
    <row r="129" spans="7:10" x14ac:dyDescent="0.15">
      <c r="G129" s="2"/>
      <c r="H129" s="2"/>
      <c r="I129" s="2"/>
      <c r="J129" s="2"/>
    </row>
    <row r="130" spans="7:10" x14ac:dyDescent="0.15">
      <c r="G130" s="2"/>
      <c r="H130" s="2"/>
      <c r="I130" s="2"/>
      <c r="J130" s="2"/>
    </row>
    <row r="131" spans="7:10" x14ac:dyDescent="0.15">
      <c r="G131" s="2"/>
      <c r="H131" s="2"/>
      <c r="I131" s="2"/>
      <c r="J131" s="2"/>
    </row>
    <row r="132" spans="7:10" x14ac:dyDescent="0.15">
      <c r="G132" s="2"/>
      <c r="H132" s="2"/>
      <c r="I132" s="2"/>
      <c r="J132" s="2"/>
    </row>
    <row r="133" spans="7:10" x14ac:dyDescent="0.15">
      <c r="G133" s="2"/>
      <c r="H133" s="2"/>
      <c r="I133" s="2"/>
      <c r="J133" s="2"/>
    </row>
    <row r="134" spans="7:10" x14ac:dyDescent="0.15">
      <c r="G134" s="2"/>
      <c r="H134" s="2"/>
      <c r="I134" s="2"/>
      <c r="J134" s="2"/>
    </row>
    <row r="135" spans="7:10" x14ac:dyDescent="0.15">
      <c r="G135" s="2"/>
      <c r="H135" s="2"/>
      <c r="I135" s="2"/>
      <c r="J135" s="2"/>
    </row>
    <row r="136" spans="7:10" x14ac:dyDescent="0.15">
      <c r="G136" s="2"/>
      <c r="H136" s="2"/>
      <c r="I136" s="2"/>
      <c r="J136" s="2"/>
    </row>
    <row r="137" spans="7:10" x14ac:dyDescent="0.15">
      <c r="G137" s="2"/>
      <c r="H137" s="2"/>
      <c r="I137" s="2"/>
      <c r="J137" s="2"/>
    </row>
    <row r="138" spans="7:10" x14ac:dyDescent="0.15">
      <c r="G138" s="2"/>
      <c r="H138" s="2"/>
      <c r="I138" s="2"/>
      <c r="J138" s="2"/>
    </row>
    <row r="139" spans="7:10" x14ac:dyDescent="0.15">
      <c r="G139" s="2"/>
      <c r="H139" s="2"/>
      <c r="I139" s="2"/>
      <c r="J139" s="2"/>
    </row>
    <row r="140" spans="7:10" x14ac:dyDescent="0.15">
      <c r="G140" s="2"/>
      <c r="H140" s="2"/>
      <c r="I140" s="2"/>
      <c r="J140" s="2"/>
    </row>
    <row r="141" spans="7:10" x14ac:dyDescent="0.15">
      <c r="G141" s="2"/>
      <c r="H141" s="2"/>
      <c r="I141" s="2"/>
      <c r="J141" s="2"/>
    </row>
    <row r="142" spans="7:10" x14ac:dyDescent="0.15">
      <c r="G142" s="2"/>
      <c r="H142" s="2"/>
      <c r="I142" s="2"/>
      <c r="J142" s="2"/>
    </row>
    <row r="143" spans="7:10" x14ac:dyDescent="0.15">
      <c r="G143" s="2"/>
      <c r="H143" s="2"/>
      <c r="I143" s="2"/>
      <c r="J143" s="2"/>
    </row>
    <row r="144" spans="7:10" x14ac:dyDescent="0.15">
      <c r="G144" s="2"/>
      <c r="H144" s="2"/>
      <c r="I144" s="2"/>
      <c r="J144" s="2"/>
    </row>
    <row r="145" spans="7:10" x14ac:dyDescent="0.15">
      <c r="G145" s="2"/>
      <c r="H145" s="2"/>
      <c r="I145" s="2"/>
      <c r="J145" s="2"/>
    </row>
    <row r="146" spans="7:10" x14ac:dyDescent="0.15">
      <c r="G146" s="2"/>
      <c r="H146" s="2"/>
      <c r="I146" s="2"/>
      <c r="J146" s="2"/>
    </row>
    <row r="147" spans="7:10" x14ac:dyDescent="0.15">
      <c r="G147" s="2"/>
      <c r="H147" s="2"/>
      <c r="I147" s="2"/>
      <c r="J147" s="2"/>
    </row>
    <row r="148" spans="7:10" x14ac:dyDescent="0.15">
      <c r="G148" s="2"/>
      <c r="H148" s="2"/>
      <c r="I148" s="2"/>
      <c r="J148" s="2"/>
    </row>
    <row r="149" spans="7:10" x14ac:dyDescent="0.15">
      <c r="G149" s="2"/>
      <c r="H149" s="2"/>
      <c r="I149" s="2"/>
      <c r="J149" s="2"/>
    </row>
    <row r="150" spans="7:10" x14ac:dyDescent="0.15">
      <c r="G150" s="2"/>
      <c r="H150" s="2"/>
      <c r="I150" s="2"/>
      <c r="J150" s="2"/>
    </row>
    <row r="151" spans="7:10" x14ac:dyDescent="0.15">
      <c r="G151" s="2"/>
      <c r="H151" s="2"/>
      <c r="I151" s="2"/>
      <c r="J151" s="2"/>
    </row>
    <row r="152" spans="7:10" x14ac:dyDescent="0.15">
      <c r="G152" s="2"/>
      <c r="H152" s="2"/>
      <c r="I152" s="2"/>
      <c r="J152" s="2"/>
    </row>
    <row r="153" spans="7:10" x14ac:dyDescent="0.15">
      <c r="G153" s="2"/>
      <c r="H153" s="2"/>
      <c r="I153" s="2"/>
      <c r="J153" s="2"/>
    </row>
    <row r="154" spans="7:10" x14ac:dyDescent="0.15">
      <c r="G154" s="2"/>
      <c r="H154" s="2"/>
      <c r="I154" s="2"/>
      <c r="J154" s="2"/>
    </row>
    <row r="155" spans="7:10" x14ac:dyDescent="0.15">
      <c r="G155" s="2"/>
      <c r="H155" s="2"/>
      <c r="I155" s="2"/>
      <c r="J155" s="2"/>
    </row>
    <row r="156" spans="7:10" x14ac:dyDescent="0.15">
      <c r="G156" s="2"/>
      <c r="H156" s="2"/>
      <c r="I156" s="2"/>
      <c r="J156" s="2"/>
    </row>
    <row r="157" spans="7:10" x14ac:dyDescent="0.15">
      <c r="G157" s="2"/>
      <c r="H157" s="2"/>
      <c r="I157" s="2"/>
      <c r="J157" s="2"/>
    </row>
    <row r="158" spans="7:10" x14ac:dyDescent="0.15">
      <c r="G158" s="2"/>
      <c r="H158" s="2"/>
      <c r="I158" s="2"/>
      <c r="J158" s="2"/>
    </row>
    <row r="159" spans="7:10" x14ac:dyDescent="0.15">
      <c r="G159" s="2"/>
      <c r="H159" s="2"/>
      <c r="I159" s="2"/>
      <c r="J159" s="2"/>
    </row>
    <row r="160" spans="7:10" x14ac:dyDescent="0.15">
      <c r="G160" s="2"/>
      <c r="H160" s="2"/>
      <c r="I160" s="2"/>
      <c r="J160" s="2"/>
    </row>
    <row r="161" spans="7:10" x14ac:dyDescent="0.15">
      <c r="G161" s="2"/>
      <c r="H161" s="2"/>
      <c r="I161" s="2"/>
      <c r="J161" s="2"/>
    </row>
    <row r="162" spans="7:10" x14ac:dyDescent="0.15">
      <c r="G162" s="2"/>
      <c r="H162" s="2"/>
      <c r="I162" s="2"/>
      <c r="J162" s="2"/>
    </row>
    <row r="163" spans="7:10" x14ac:dyDescent="0.15">
      <c r="G163" s="2"/>
      <c r="H163" s="2"/>
      <c r="I163" s="2"/>
      <c r="J163" s="2"/>
    </row>
    <row r="164" spans="7:10" x14ac:dyDescent="0.15">
      <c r="G164" s="2"/>
      <c r="H164" s="2"/>
      <c r="I164" s="2"/>
      <c r="J164" s="2"/>
    </row>
    <row r="165" spans="7:10" x14ac:dyDescent="0.15">
      <c r="G165" s="2"/>
      <c r="H165" s="2"/>
      <c r="I165" s="2"/>
      <c r="J165" s="2"/>
    </row>
    <row r="166" spans="7:10" x14ac:dyDescent="0.15">
      <c r="G166" s="2"/>
      <c r="H166" s="2"/>
      <c r="I166" s="2"/>
      <c r="J166" s="2"/>
    </row>
    <row r="167" spans="7:10" x14ac:dyDescent="0.15">
      <c r="G167" s="2"/>
      <c r="H167" s="2"/>
      <c r="I167" s="2"/>
      <c r="J167" s="2"/>
    </row>
    <row r="168" spans="7:10" x14ac:dyDescent="0.15">
      <c r="G168" s="2"/>
      <c r="H168" s="2"/>
      <c r="I168" s="2"/>
      <c r="J168" s="2"/>
    </row>
    <row r="169" spans="7:10" x14ac:dyDescent="0.15">
      <c r="G169" s="2"/>
      <c r="H169" s="2"/>
      <c r="I169" s="2"/>
      <c r="J169" s="2"/>
    </row>
    <row r="170" spans="7:10" x14ac:dyDescent="0.15">
      <c r="G170" s="2"/>
      <c r="H170" s="2"/>
      <c r="I170" s="2"/>
      <c r="J170" s="2"/>
    </row>
    <row r="171" spans="7:10" x14ac:dyDescent="0.15">
      <c r="G171" s="2"/>
      <c r="H171" s="2"/>
      <c r="I171" s="2"/>
      <c r="J171" s="2"/>
    </row>
    <row r="172" spans="7:10" x14ac:dyDescent="0.15">
      <c r="G172" s="2"/>
      <c r="H172" s="2"/>
      <c r="I172" s="2"/>
      <c r="J172" s="2"/>
    </row>
    <row r="173" spans="7:10" x14ac:dyDescent="0.15">
      <c r="G173" s="2"/>
      <c r="H173" s="2"/>
      <c r="I173" s="2"/>
      <c r="J173" s="2"/>
    </row>
    <row r="174" spans="7:10" x14ac:dyDescent="0.15">
      <c r="G174" s="2"/>
      <c r="H174" s="2"/>
      <c r="I174" s="2"/>
      <c r="J174" s="2"/>
    </row>
    <row r="175" spans="7:10" x14ac:dyDescent="0.15">
      <c r="G175" s="2"/>
      <c r="H175" s="2"/>
      <c r="I175" s="2"/>
      <c r="J175" s="2"/>
    </row>
    <row r="176" spans="7:10" x14ac:dyDescent="0.15">
      <c r="G176" s="2"/>
      <c r="H176" s="2"/>
      <c r="I176" s="2"/>
      <c r="J176" s="2"/>
    </row>
  </sheetData>
  <sheetProtection password="DADD" sheet="1" objects="1" scenarios="1" selectLockedCells="1"/>
  <phoneticPr fontId="2"/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R99"/>
  <sheetViews>
    <sheetView workbookViewId="0">
      <selection activeCell="W29" sqref="W29"/>
    </sheetView>
  </sheetViews>
  <sheetFormatPr defaultRowHeight="13.5" x14ac:dyDescent="0.15"/>
  <cols>
    <col min="2" max="2" width="35.875" bestFit="1" customWidth="1"/>
    <col min="3" max="3" width="11" bestFit="1" customWidth="1"/>
    <col min="4" max="4" width="13" bestFit="1" customWidth="1"/>
    <col min="5" max="5" width="11.5" bestFit="1" customWidth="1"/>
    <col min="9" max="9" width="5.625" customWidth="1"/>
    <col min="10" max="10" width="20.375" bestFit="1" customWidth="1"/>
    <col min="11" max="11" width="17.25" bestFit="1" customWidth="1"/>
    <col min="12" max="12" width="14.125" bestFit="1" customWidth="1"/>
    <col min="13" max="14" width="7.5" bestFit="1" customWidth="1"/>
    <col min="15" max="15" width="5.5" bestFit="1" customWidth="1"/>
    <col min="16" max="17" width="7.5" bestFit="1" customWidth="1"/>
    <col min="18" max="18" width="5.5" bestFit="1" customWidth="1"/>
  </cols>
  <sheetData>
    <row r="1" spans="2:18" ht="14.25" thickBot="1" x14ac:dyDescent="0.2"/>
    <row r="2" spans="2:18" ht="14.25" thickBot="1" x14ac:dyDescent="0.2">
      <c r="B2" t="s">
        <v>139</v>
      </c>
      <c r="G2" t="s">
        <v>138</v>
      </c>
      <c r="J2" s="58">
        <v>2025</v>
      </c>
      <c r="K2" s="59" t="s">
        <v>171</v>
      </c>
    </row>
    <row r="3" spans="2:18" ht="14.25" thickBot="1" x14ac:dyDescent="0.2">
      <c r="B3" s="18" t="s">
        <v>137</v>
      </c>
      <c r="C3" s="24" t="s">
        <v>107</v>
      </c>
      <c r="D3" s="27" t="s">
        <v>101</v>
      </c>
      <c r="G3" s="90" t="s">
        <v>145</v>
      </c>
      <c r="H3" s="90"/>
      <c r="J3" s="57" t="s">
        <v>146</v>
      </c>
      <c r="K3" s="57" t="s">
        <v>148</v>
      </c>
    </row>
    <row r="4" spans="2:18" x14ac:dyDescent="0.15">
      <c r="B4" s="18" t="s">
        <v>136</v>
      </c>
      <c r="C4" s="24">
        <v>50</v>
      </c>
      <c r="D4" s="91" t="str">
        <f>IF(計算シート!D16&gt;170000,50,IF(計算シート!D16&gt;150000,48,IF(計算シート!D16&gt;130000,46,IF(計算シート!D16&gt;110000,44,IF(計算シート!D16&gt;90000,42,IF(計算シート!D16="","",40))))))</f>
        <v/>
      </c>
      <c r="G4" s="18" t="s">
        <v>135</v>
      </c>
      <c r="H4" s="18">
        <v>8.6999999999999994E-3</v>
      </c>
      <c r="J4" s="18" t="str">
        <f>IF(計算シート!B16="","",IF(計算シート!B16&lt;4,J2-計算シート!A16+1,J2-計算シート!A16))</f>
        <v/>
      </c>
      <c r="K4" s="18" t="str">
        <f>IF(計算シート!C16="","",1-(VLOOKUP(計算シート!C16,データ!G4:H5,2,FALSE))*J4)</f>
        <v/>
      </c>
    </row>
    <row r="5" spans="2:18" x14ac:dyDescent="0.15">
      <c r="B5" s="18" t="s">
        <v>134</v>
      </c>
      <c r="C5" s="24">
        <v>48</v>
      </c>
      <c r="D5" s="92"/>
      <c r="G5" s="18" t="s">
        <v>133</v>
      </c>
      <c r="H5" s="18">
        <v>3.8999999999999998E-3</v>
      </c>
      <c r="J5" s="18" t="s">
        <v>147</v>
      </c>
      <c r="K5" s="18" t="s">
        <v>173</v>
      </c>
    </row>
    <row r="6" spans="2:18" x14ac:dyDescent="0.15">
      <c r="B6" s="18" t="s">
        <v>132</v>
      </c>
      <c r="C6" s="24">
        <v>46</v>
      </c>
      <c r="D6" s="92"/>
      <c r="J6" s="18" t="str">
        <f>IF(計算シート!B16="","",IF(計算シート!B16&lt;4,2004-計算シート!A16+1,2004-計算シート!A16))</f>
        <v/>
      </c>
      <c r="K6" s="34" t="str">
        <f>IF(計算シート!C16="","",1-(VLOOKUP(計算シート!C16,データ!G8:H9,2,FALSE))*J6)</f>
        <v/>
      </c>
    </row>
    <row r="7" spans="2:18" ht="14.25" thickBot="1" x14ac:dyDescent="0.2">
      <c r="B7" s="18" t="s">
        <v>131</v>
      </c>
      <c r="C7" s="24">
        <v>44</v>
      </c>
      <c r="D7" s="92"/>
      <c r="G7" s="90" t="s">
        <v>151</v>
      </c>
      <c r="H7" s="90"/>
    </row>
    <row r="8" spans="2:18" ht="14.25" thickBot="1" x14ac:dyDescent="0.2">
      <c r="B8" s="18" t="s">
        <v>130</v>
      </c>
      <c r="C8" s="24">
        <v>42</v>
      </c>
      <c r="D8" s="92"/>
      <c r="G8" s="18" t="s">
        <v>135</v>
      </c>
      <c r="H8" s="18">
        <v>1.77E-2</v>
      </c>
      <c r="J8" s="29" t="s">
        <v>149</v>
      </c>
    </row>
    <row r="9" spans="2:18" ht="14.25" thickBot="1" x14ac:dyDescent="0.2">
      <c r="B9" s="18" t="s">
        <v>129</v>
      </c>
      <c r="C9" s="24">
        <v>40</v>
      </c>
      <c r="D9" s="93"/>
      <c r="G9" s="18" t="s">
        <v>133</v>
      </c>
      <c r="H9" s="18">
        <v>1.14E-2</v>
      </c>
      <c r="J9" s="28" t="str">
        <f>IF(K4="","",IF(K6="","",MIN(データ!K4,データ!K6)))</f>
        <v/>
      </c>
    </row>
    <row r="10" spans="2:18" ht="14.25" thickBot="1" x14ac:dyDescent="0.2">
      <c r="P10" s="26"/>
    </row>
    <row r="11" spans="2:18" ht="14.25" thickBot="1" x14ac:dyDescent="0.2">
      <c r="B11" t="s">
        <v>128</v>
      </c>
      <c r="J11" s="58">
        <f>J2+1</f>
        <v>2026</v>
      </c>
      <c r="K11" s="59" t="s">
        <v>171</v>
      </c>
      <c r="L11" s="33" t="s">
        <v>150</v>
      </c>
      <c r="M11">
        <v>2018.3</v>
      </c>
      <c r="N11" s="32">
        <v>2018.4</v>
      </c>
      <c r="O11">
        <v>2018</v>
      </c>
      <c r="P11">
        <v>2004.3</v>
      </c>
      <c r="Q11" s="32">
        <v>2004.4</v>
      </c>
      <c r="R11">
        <v>2004</v>
      </c>
    </row>
    <row r="12" spans="2:18" ht="14.25" thickBot="1" x14ac:dyDescent="0.2">
      <c r="B12" s="18" t="s">
        <v>127</v>
      </c>
      <c r="C12" s="18" t="s">
        <v>107</v>
      </c>
      <c r="D12" s="94" t="s">
        <v>101</v>
      </c>
      <c r="E12" s="95"/>
      <c r="J12" s="57" t="s">
        <v>146</v>
      </c>
      <c r="K12" s="57" t="s">
        <v>148</v>
      </c>
      <c r="L12" s="30">
        <v>2001.3</v>
      </c>
      <c r="M12">
        <v>17</v>
      </c>
      <c r="N12" s="31">
        <v>18</v>
      </c>
      <c r="O12">
        <v>17</v>
      </c>
      <c r="P12">
        <v>3</v>
      </c>
      <c r="Q12" s="31">
        <v>4</v>
      </c>
      <c r="R12">
        <v>3</v>
      </c>
    </row>
    <row r="13" spans="2:18" x14ac:dyDescent="0.15">
      <c r="B13" s="18" t="s">
        <v>126</v>
      </c>
      <c r="C13" s="18">
        <v>20</v>
      </c>
      <c r="D13" s="44" t="s">
        <v>125</v>
      </c>
      <c r="E13" s="46" t="s">
        <v>124</v>
      </c>
      <c r="J13" s="18" t="str">
        <f>IF(計算シート!B16="","",IF(計算シート!B16&lt;4,J11-計算シート!A16+1,J11-計算シート!A16))</f>
        <v/>
      </c>
      <c r="K13" s="18" t="str">
        <f>IF(計算シート!C16="","",1-(VLOOKUP(計算シート!C16,データ!G4:H5,2,FALSE))*J13)</f>
        <v/>
      </c>
      <c r="L13" s="30">
        <v>2001.4</v>
      </c>
      <c r="M13">
        <v>16</v>
      </c>
      <c r="N13" s="31">
        <v>17</v>
      </c>
      <c r="O13">
        <v>17</v>
      </c>
      <c r="P13">
        <v>2</v>
      </c>
      <c r="Q13" s="31">
        <v>3</v>
      </c>
      <c r="R13">
        <v>3</v>
      </c>
    </row>
    <row r="14" spans="2:18" x14ac:dyDescent="0.15">
      <c r="B14" s="18" t="s">
        <v>123</v>
      </c>
      <c r="C14" s="18">
        <v>18</v>
      </c>
      <c r="D14" s="45" t="str">
        <f>IF(乗客人数!P32="","",VLOOKUP(乗客人数!P32,乗客人数!F3:I61,4,FALSE))</f>
        <v/>
      </c>
      <c r="E14" s="47" t="str">
        <f>IF(D14="","",IF(D14&gt;80000,20,IF(D14&gt;60000,18,IF(D14&gt;40000,16,IF(D14&gt;20000,14,12)))))</f>
        <v/>
      </c>
      <c r="F14" t="s">
        <v>159</v>
      </c>
      <c r="J14" s="18" t="s">
        <v>147</v>
      </c>
      <c r="K14" s="18" t="s">
        <v>173</v>
      </c>
      <c r="L14" s="30">
        <v>2004.3</v>
      </c>
      <c r="M14">
        <v>14</v>
      </c>
      <c r="N14" s="31">
        <v>15</v>
      </c>
      <c r="O14">
        <v>14</v>
      </c>
      <c r="P14">
        <v>0</v>
      </c>
      <c r="Q14" s="31">
        <v>1</v>
      </c>
      <c r="R14">
        <v>0</v>
      </c>
    </row>
    <row r="15" spans="2:18" x14ac:dyDescent="0.15">
      <c r="B15" s="18" t="s">
        <v>122</v>
      </c>
      <c r="C15" s="18">
        <v>16</v>
      </c>
      <c r="D15" s="45" t="str">
        <f>IF(乗客人数!P33="","",VLOOKUP(乗客人数!P33,乗客人数!F3:I61,4,FALSE))</f>
        <v/>
      </c>
      <c r="E15" s="47" t="str">
        <f>IF(D15="","",IF(D15&gt;80000,20,IF(D15&gt;60000,18,IF(D15&gt;40000,16,IF(D15&gt;20000,14,12)))))</f>
        <v/>
      </c>
      <c r="F15" t="s">
        <v>160</v>
      </c>
      <c r="J15" s="18" t="str">
        <f>IF(計算シート!B16="","",IF(計算シート!B16&lt;4,2004-計算シート!A16+1,2004-計算シート!A16))</f>
        <v/>
      </c>
      <c r="K15" s="34" t="str">
        <f>IF(計算シート!C16="","",1-(VLOOKUP(計算シート!C16,データ!G8:H9,2,FALSE))*J15)</f>
        <v/>
      </c>
      <c r="L15" s="30">
        <v>2004.4</v>
      </c>
      <c r="M15">
        <v>13</v>
      </c>
      <c r="N15" s="31">
        <v>14</v>
      </c>
      <c r="O15">
        <v>14</v>
      </c>
      <c r="P15">
        <v>-1</v>
      </c>
      <c r="Q15" s="31">
        <v>0</v>
      </c>
      <c r="R15">
        <v>0</v>
      </c>
    </row>
    <row r="16" spans="2:18" ht="14.25" thickBot="1" x14ac:dyDescent="0.2">
      <c r="B16" s="18" t="s">
        <v>121</v>
      </c>
      <c r="C16" s="18">
        <v>14</v>
      </c>
      <c r="D16" s="45" t="str">
        <f>IF(乗客人数!P34="","",VLOOKUP(乗客人数!P34,乗客人数!F3:I61,4,FALSE))</f>
        <v/>
      </c>
      <c r="E16" s="48" t="str">
        <f>IF(D16="","",IF(D16&gt;80000,20,IF(D16&gt;60000,18,IF(D16&gt;40000,16,IF(D16&gt;20000,14,12)))))</f>
        <v/>
      </c>
      <c r="F16" t="s">
        <v>161</v>
      </c>
      <c r="L16" s="30">
        <v>2010.3</v>
      </c>
      <c r="M16">
        <v>8</v>
      </c>
      <c r="N16" s="31">
        <v>9</v>
      </c>
      <c r="O16">
        <v>8</v>
      </c>
      <c r="P16">
        <v>-6</v>
      </c>
      <c r="Q16" s="31">
        <v>-5</v>
      </c>
      <c r="R16">
        <v>-6</v>
      </c>
    </row>
    <row r="17" spans="2:18" ht="14.25" thickBot="1" x14ac:dyDescent="0.2">
      <c r="B17" s="18" t="s">
        <v>120</v>
      </c>
      <c r="C17" s="18">
        <v>12</v>
      </c>
      <c r="D17" s="41"/>
      <c r="J17" s="29" t="s">
        <v>149</v>
      </c>
      <c r="L17" s="30">
        <v>2010.4</v>
      </c>
      <c r="M17">
        <v>7</v>
      </c>
      <c r="N17" s="28">
        <v>8</v>
      </c>
      <c r="O17">
        <v>8</v>
      </c>
      <c r="P17">
        <v>-7</v>
      </c>
      <c r="Q17" s="28">
        <v>-6</v>
      </c>
      <c r="R17">
        <v>-6</v>
      </c>
    </row>
    <row r="18" spans="2:18" ht="14.25" thickBot="1" x14ac:dyDescent="0.2">
      <c r="D18" s="41"/>
      <c r="J18" s="28" t="str">
        <f>IF(K13="","",IF(K15="","",MIN(データ!K13,データ!K15)))</f>
        <v/>
      </c>
    </row>
    <row r="19" spans="2:18" ht="14.25" thickBot="1" x14ac:dyDescent="0.2"/>
    <row r="20" spans="2:18" ht="14.25" thickBot="1" x14ac:dyDescent="0.2">
      <c r="B20" t="s">
        <v>119</v>
      </c>
      <c r="J20" s="58">
        <f>J11+1</f>
        <v>2027</v>
      </c>
      <c r="K20" s="59" t="s">
        <v>171</v>
      </c>
    </row>
    <row r="21" spans="2:18" ht="14.25" thickBot="1" x14ac:dyDescent="0.2">
      <c r="B21" s="18" t="s">
        <v>118</v>
      </c>
      <c r="C21" s="24" t="s">
        <v>107</v>
      </c>
      <c r="D21" s="27" t="s">
        <v>156</v>
      </c>
      <c r="E21" s="27" t="s">
        <v>157</v>
      </c>
      <c r="F21" s="27" t="s">
        <v>158</v>
      </c>
      <c r="J21" s="57" t="s">
        <v>146</v>
      </c>
      <c r="K21" s="57" t="s">
        <v>148</v>
      </c>
    </row>
    <row r="22" spans="2:18" x14ac:dyDescent="0.15">
      <c r="B22" s="18" t="s">
        <v>3</v>
      </c>
      <c r="C22" s="24">
        <v>20</v>
      </c>
      <c r="D22" s="87" t="str">
        <f>IF(計算シート!H16="","",VLOOKUP(計算シート!H16,データ!B22:C29,2,FALSE))</f>
        <v/>
      </c>
      <c r="E22" s="87" t="str">
        <f>IF(計算シート!H17="","",VLOOKUP(計算シート!H17,データ!B22:C29,2,FALSE))</f>
        <v/>
      </c>
      <c r="F22" s="87" t="str">
        <f>IF(計算シート!H18="","",VLOOKUP(計算シート!H18,データ!B22:C29,2,FALSE))</f>
        <v/>
      </c>
      <c r="J22" s="18" t="str">
        <f>IF(計算シート!B16="","",IF(計算シート!B16&lt;4,J20-計算シート!A16+1,J20-計算シート!A16))</f>
        <v/>
      </c>
      <c r="K22" s="18" t="str">
        <f>IF(計算シート!C16="","",1-(VLOOKUP(計算シート!C16,データ!G4:H5,2,FALSE))*J22)</f>
        <v/>
      </c>
    </row>
    <row r="23" spans="2:18" x14ac:dyDescent="0.15">
      <c r="B23" s="18" t="s">
        <v>117</v>
      </c>
      <c r="C23" s="24">
        <v>18</v>
      </c>
      <c r="D23" s="88"/>
      <c r="E23" s="88"/>
      <c r="F23" s="88"/>
      <c r="J23" s="18" t="s">
        <v>147</v>
      </c>
      <c r="K23" s="18" t="s">
        <v>173</v>
      </c>
    </row>
    <row r="24" spans="2:18" x14ac:dyDescent="0.15">
      <c r="B24" s="18" t="s">
        <v>116</v>
      </c>
      <c r="C24" s="24">
        <v>16</v>
      </c>
      <c r="D24" s="88"/>
      <c r="E24" s="88"/>
      <c r="F24" s="88"/>
      <c r="J24" s="18" t="str">
        <f>IF(計算シート!B16="","",IF(計算シート!B16&lt;4,2004-計算シート!A16+1,2004-計算シート!A16))</f>
        <v/>
      </c>
      <c r="K24" s="34" t="str">
        <f>IF(計算シート!C16="","",1-(VLOOKUP(計算シート!C16,データ!G8:H9,2,FALSE))*J24)</f>
        <v/>
      </c>
    </row>
    <row r="25" spans="2:18" ht="14.25" thickBot="1" x14ac:dyDescent="0.2">
      <c r="B25" s="18" t="s">
        <v>115</v>
      </c>
      <c r="C25" s="24">
        <v>14</v>
      </c>
      <c r="D25" s="88"/>
      <c r="E25" s="88"/>
      <c r="F25" s="88"/>
    </row>
    <row r="26" spans="2:18" ht="14.25" thickBot="1" x14ac:dyDescent="0.2">
      <c r="B26" s="18" t="s">
        <v>114</v>
      </c>
      <c r="C26" s="24">
        <v>12</v>
      </c>
      <c r="D26" s="88"/>
      <c r="E26" s="88"/>
      <c r="F26" s="88"/>
      <c r="J26" s="29" t="s">
        <v>149</v>
      </c>
    </row>
    <row r="27" spans="2:18" ht="14.25" thickBot="1" x14ac:dyDescent="0.2">
      <c r="B27" s="18" t="s">
        <v>113</v>
      </c>
      <c r="C27" s="24">
        <v>10</v>
      </c>
      <c r="D27" s="88"/>
      <c r="E27" s="88"/>
      <c r="F27" s="88"/>
      <c r="J27" s="28" t="str">
        <f>IF(K22="","",IF(K24="","",MIN(データ!K22,データ!K24)))</f>
        <v/>
      </c>
    </row>
    <row r="28" spans="2:18" ht="14.25" thickBot="1" x14ac:dyDescent="0.2">
      <c r="B28" s="18" t="s">
        <v>112</v>
      </c>
      <c r="C28" s="24">
        <v>8</v>
      </c>
      <c r="D28" s="88"/>
      <c r="E28" s="88"/>
      <c r="F28" s="88"/>
    </row>
    <row r="29" spans="2:18" ht="14.25" thickBot="1" x14ac:dyDescent="0.2">
      <c r="B29" s="18" t="s">
        <v>111</v>
      </c>
      <c r="C29" s="24">
        <v>6</v>
      </c>
      <c r="D29" s="89"/>
      <c r="E29" s="89"/>
      <c r="F29" s="89"/>
      <c r="J29" s="58">
        <f>J20+1</f>
        <v>2028</v>
      </c>
      <c r="K29" s="59" t="s">
        <v>171</v>
      </c>
    </row>
    <row r="30" spans="2:18" x14ac:dyDescent="0.15">
      <c r="B30" s="25" t="s">
        <v>110</v>
      </c>
      <c r="J30" s="57" t="s">
        <v>146</v>
      </c>
      <c r="K30" s="57" t="s">
        <v>148</v>
      </c>
    </row>
    <row r="31" spans="2:18" x14ac:dyDescent="0.15">
      <c r="J31" s="18" t="str">
        <f>IF(計算シート!B16="","",IF(計算シート!B16&lt;4,J29-計算シート!A16+1,J29-計算シート!A16))</f>
        <v/>
      </c>
      <c r="K31" s="18" t="str">
        <f>IF(計算シート!C16="","",1-(VLOOKUP(計算シート!C16,データ!G4:H5,2,FALSE))*J31)</f>
        <v/>
      </c>
    </row>
    <row r="32" spans="2:18" ht="14.25" thickBot="1" x14ac:dyDescent="0.2">
      <c r="B32" t="s">
        <v>109</v>
      </c>
      <c r="J32" s="18" t="s">
        <v>147</v>
      </c>
      <c r="K32" s="18" t="s">
        <v>173</v>
      </c>
    </row>
    <row r="33" spans="2:11" ht="14.25" thickBot="1" x14ac:dyDescent="0.2">
      <c r="B33" s="18" t="s">
        <v>108</v>
      </c>
      <c r="C33" s="24" t="s">
        <v>107</v>
      </c>
      <c r="D33" s="27" t="s">
        <v>156</v>
      </c>
      <c r="E33" s="27" t="s">
        <v>157</v>
      </c>
      <c r="F33" s="27" t="s">
        <v>158</v>
      </c>
      <c r="J33" s="18" t="str">
        <f>IF(計算シート!B16="","",IF(計算シート!B16&lt;4,2004-計算シート!A16+1,2004-計算シート!A16))</f>
        <v/>
      </c>
      <c r="K33" s="34" t="str">
        <f>IF(計算シート!C16="","",1-(VLOOKUP(計算シート!C16,データ!G8:H9,2,FALSE))*J33)</f>
        <v/>
      </c>
    </row>
    <row r="34" spans="2:11" ht="14.25" thickBot="1" x14ac:dyDescent="0.2">
      <c r="B34" s="18" t="s">
        <v>2</v>
      </c>
      <c r="C34" s="24">
        <v>10</v>
      </c>
      <c r="D34" s="87" t="str">
        <f>IF(計算シート!I16="","",VLOOKUP(計算シート!I16,データ!B34:C38,2,FALSE))</f>
        <v/>
      </c>
      <c r="E34" s="87" t="str">
        <f>IF(計算シート!I17="","",VLOOKUP(計算シート!I17,データ!B34:C38,2,FALSE))</f>
        <v/>
      </c>
      <c r="F34" s="87" t="str">
        <f>IF(計算シート!I18="","",VLOOKUP(計算シート!I18,データ!B34:C38,2,FALSE))</f>
        <v/>
      </c>
    </row>
    <row r="35" spans="2:11" ht="14.25" thickBot="1" x14ac:dyDescent="0.2">
      <c r="B35" s="18" t="s">
        <v>106</v>
      </c>
      <c r="C35" s="24">
        <v>10</v>
      </c>
      <c r="D35" s="88"/>
      <c r="E35" s="88"/>
      <c r="F35" s="88"/>
      <c r="J35" s="29" t="s">
        <v>149</v>
      </c>
    </row>
    <row r="36" spans="2:11" ht="14.25" thickBot="1" x14ac:dyDescent="0.2">
      <c r="B36" s="18" t="s">
        <v>105</v>
      </c>
      <c r="C36" s="24">
        <v>8</v>
      </c>
      <c r="D36" s="88"/>
      <c r="E36" s="88"/>
      <c r="F36" s="88"/>
      <c r="J36" s="28" t="str">
        <f>IF(K31="","",IF(K33="","",MIN(データ!K31,データ!K33)))</f>
        <v/>
      </c>
    </row>
    <row r="37" spans="2:11" ht="14.25" thickBot="1" x14ac:dyDescent="0.2">
      <c r="B37" s="18" t="s">
        <v>104</v>
      </c>
      <c r="C37" s="24">
        <v>6</v>
      </c>
      <c r="D37" s="88"/>
      <c r="E37" s="88"/>
      <c r="F37" s="88"/>
    </row>
    <row r="38" spans="2:11" ht="14.25" thickBot="1" x14ac:dyDescent="0.2">
      <c r="B38" s="18" t="s">
        <v>103</v>
      </c>
      <c r="C38" s="24">
        <v>4</v>
      </c>
      <c r="D38" s="89"/>
      <c r="E38" s="89"/>
      <c r="F38" s="89"/>
      <c r="J38" s="58">
        <f>J29+1</f>
        <v>2029</v>
      </c>
      <c r="K38" s="59" t="s">
        <v>171</v>
      </c>
    </row>
    <row r="39" spans="2:11" x14ac:dyDescent="0.15">
      <c r="J39" s="57" t="s">
        <v>146</v>
      </c>
      <c r="K39" s="57" t="s">
        <v>148</v>
      </c>
    </row>
    <row r="40" spans="2:11" ht="14.25" thickBot="1" x14ac:dyDescent="0.2">
      <c r="B40" t="s">
        <v>102</v>
      </c>
      <c r="J40" s="18" t="str">
        <f>IF(計算シート!B16="","",IF(計算シート!B16&lt;4,J38-計算シート!A16+1,J38-計算シート!A16))</f>
        <v/>
      </c>
      <c r="K40" s="18" t="str">
        <f>IF(計算シート!C16="","",1-(VLOOKUP(計算シート!C16,データ!G4:H5,2,FALSE))*J40)</f>
        <v/>
      </c>
    </row>
    <row r="41" spans="2:11" ht="14.25" thickBot="1" x14ac:dyDescent="0.2">
      <c r="B41" s="18" t="s">
        <v>100</v>
      </c>
      <c r="C41" s="24" t="s">
        <v>99</v>
      </c>
      <c r="D41" s="85" t="s">
        <v>156</v>
      </c>
      <c r="E41" s="86"/>
      <c r="J41" s="18" t="s">
        <v>147</v>
      </c>
      <c r="K41" s="18" t="s">
        <v>173</v>
      </c>
    </row>
    <row r="42" spans="2:11" x14ac:dyDescent="0.15">
      <c r="B42" s="18">
        <v>100</v>
      </c>
      <c r="C42" s="21">
        <v>1</v>
      </c>
      <c r="D42" s="23" t="s">
        <v>100</v>
      </c>
      <c r="E42" s="22" t="s">
        <v>99</v>
      </c>
      <c r="J42" s="18" t="str">
        <f>IF(計算シート!B16="","",IF(計算シート!B16&lt;4,2004-計算シート!A16+1,2004-計算シート!A16))</f>
        <v/>
      </c>
      <c r="K42" s="34" t="str">
        <f>IF(計算シート!C16="","",1-(VLOOKUP(計算シート!C16,データ!G8:H9,2,FALSE))*J42)</f>
        <v/>
      </c>
    </row>
    <row r="43" spans="2:11" ht="14.25" thickBot="1" x14ac:dyDescent="0.2">
      <c r="B43" s="18">
        <v>98</v>
      </c>
      <c r="C43" s="21">
        <v>0.99</v>
      </c>
      <c r="D43" s="20" t="str">
        <f>IF(D4="","",IF(E14="","",IF(D22="","",IF(D34="","",SUM(D4,E14,D22,D34)))))</f>
        <v/>
      </c>
      <c r="E43" s="19" t="str">
        <f>IF(D43="","",IF(D43&lt;=70,0.85,VLOOKUP(D43,B42:C56,2,FALSE)))</f>
        <v/>
      </c>
    </row>
    <row r="44" spans="2:11" ht="14.25" thickBot="1" x14ac:dyDescent="0.2">
      <c r="B44" s="18">
        <v>96</v>
      </c>
      <c r="C44" s="16">
        <v>0.98</v>
      </c>
      <c r="D44" s="85" t="s">
        <v>157</v>
      </c>
      <c r="E44" s="86"/>
      <c r="J44" s="29" t="s">
        <v>149</v>
      </c>
    </row>
    <row r="45" spans="2:11" ht="14.25" thickBot="1" x14ac:dyDescent="0.2">
      <c r="B45" s="18">
        <v>94</v>
      </c>
      <c r="C45" s="21">
        <v>0.97</v>
      </c>
      <c r="D45" s="23" t="s">
        <v>100</v>
      </c>
      <c r="E45" s="22" t="s">
        <v>99</v>
      </c>
      <c r="J45" s="28" t="str">
        <f>IF(K40="","",IF(K42="","",MIN(データ!K40,データ!K42)))</f>
        <v/>
      </c>
    </row>
    <row r="46" spans="2:11" ht="14.25" thickBot="1" x14ac:dyDescent="0.2">
      <c r="B46" s="18">
        <v>92</v>
      </c>
      <c r="C46" s="21">
        <v>0.96</v>
      </c>
      <c r="D46" s="20" t="str">
        <f>IF(D4="","",IF(E15="","",IF(E22="","",IF(E34="","",SUM(D4,E15,E22,E34)))))</f>
        <v/>
      </c>
      <c r="E46" s="19" t="str">
        <f>IF(D46="","",IF(D46&lt;=70,0.85,VLOOKUP(D46,B42:C56,2,FALSE)))</f>
        <v/>
      </c>
    </row>
    <row r="47" spans="2:11" ht="14.25" thickBot="1" x14ac:dyDescent="0.2">
      <c r="B47" s="18">
        <v>90</v>
      </c>
      <c r="C47" s="16">
        <v>0.95</v>
      </c>
      <c r="D47" s="85" t="s">
        <v>158</v>
      </c>
      <c r="E47" s="86"/>
      <c r="J47" s="58">
        <f>J38+1</f>
        <v>2030</v>
      </c>
      <c r="K47" s="59" t="s">
        <v>171</v>
      </c>
    </row>
    <row r="48" spans="2:11" x14ac:dyDescent="0.15">
      <c r="B48" s="18">
        <v>88</v>
      </c>
      <c r="C48" s="21">
        <v>0.94</v>
      </c>
      <c r="D48" s="23" t="s">
        <v>100</v>
      </c>
      <c r="E48" s="22" t="s">
        <v>99</v>
      </c>
      <c r="J48" s="57" t="s">
        <v>146</v>
      </c>
      <c r="K48" s="57" t="s">
        <v>148</v>
      </c>
    </row>
    <row r="49" spans="2:11" ht="14.25" thickBot="1" x14ac:dyDescent="0.2">
      <c r="B49" s="18">
        <v>86</v>
      </c>
      <c r="C49" s="21">
        <v>0.93</v>
      </c>
      <c r="D49" s="20" t="str">
        <f>IF(D4="","",IF(E16="","",IF(F22="","",IF(F34="","",SUM(D4,E16,F22,F34)))))</f>
        <v/>
      </c>
      <c r="E49" s="19" t="str">
        <f>IF(D49="","",IF(D49&lt;=70,0.85,VLOOKUP(D49,B42:C56,2,FALSE)))</f>
        <v/>
      </c>
      <c r="J49" s="18" t="str">
        <f>IF(計算シート!B16="","",IF(計算シート!B16&lt;4,J47-計算シート!A16+1,J47-計算シート!A16))</f>
        <v/>
      </c>
      <c r="K49" s="18" t="str">
        <f>IF(計算シート!C16="","",1-(VLOOKUP(計算シート!C16,データ!G4:H5,2,FALSE))*J49)</f>
        <v/>
      </c>
    </row>
    <row r="50" spans="2:11" ht="14.25" thickBot="1" x14ac:dyDescent="0.2">
      <c r="B50" s="18">
        <v>84</v>
      </c>
      <c r="C50" s="16">
        <v>0.92</v>
      </c>
      <c r="D50" s="85" t="s">
        <v>162</v>
      </c>
      <c r="E50" s="86"/>
      <c r="J50" s="18" t="s">
        <v>147</v>
      </c>
      <c r="K50" s="18" t="s">
        <v>173</v>
      </c>
    </row>
    <row r="51" spans="2:11" x14ac:dyDescent="0.15">
      <c r="B51" s="18">
        <v>82</v>
      </c>
      <c r="C51" s="21">
        <v>0.91</v>
      </c>
      <c r="D51" s="23" t="s">
        <v>100</v>
      </c>
      <c r="E51" s="22" t="s">
        <v>99</v>
      </c>
      <c r="J51" s="18" t="str">
        <f>IF(計算シート!B16="","",IF(計算シート!B16&lt;4,2004-計算シート!A16+1,2004-計算シート!A16))</f>
        <v/>
      </c>
      <c r="K51" s="34" t="str">
        <f>IF(計算シート!C16="","",1-(VLOOKUP(計算シート!C16,データ!G8:H9,2,FALSE))*J51)</f>
        <v/>
      </c>
    </row>
    <row r="52" spans="2:11" ht="14.25" thickBot="1" x14ac:dyDescent="0.2">
      <c r="B52" s="18">
        <v>80</v>
      </c>
      <c r="C52" s="21">
        <v>0.9</v>
      </c>
      <c r="D52" s="20" t="str">
        <f>IF(_xlfn.AGGREGATE(4,6,D43:D49)=0,"",_xlfn.AGGREGATE(4,6,D43:D49))</f>
        <v/>
      </c>
      <c r="E52" s="19" t="str">
        <f>IF(D52="","",IF(D52&lt;=70,0.85,VLOOKUP(D52,B42:C56,2,FALSE)))</f>
        <v/>
      </c>
    </row>
    <row r="53" spans="2:11" ht="14.25" thickBot="1" x14ac:dyDescent="0.2">
      <c r="B53" s="18">
        <v>78</v>
      </c>
      <c r="C53" s="16">
        <v>0.89</v>
      </c>
      <c r="J53" s="29" t="s">
        <v>149</v>
      </c>
    </row>
    <row r="54" spans="2:11" ht="14.25" thickBot="1" x14ac:dyDescent="0.2">
      <c r="B54" s="18">
        <v>76</v>
      </c>
      <c r="C54" s="16">
        <v>0.88</v>
      </c>
      <c r="J54" s="28" t="str">
        <f>IF(K49="","",IF(K51="","",MIN(データ!K49,データ!K51)))</f>
        <v/>
      </c>
    </row>
    <row r="55" spans="2:11" ht="14.25" thickBot="1" x14ac:dyDescent="0.2">
      <c r="B55" s="18">
        <v>74</v>
      </c>
      <c r="C55" s="16">
        <v>0.87</v>
      </c>
    </row>
    <row r="56" spans="2:11" ht="14.25" thickBot="1" x14ac:dyDescent="0.2">
      <c r="B56" s="18">
        <v>72</v>
      </c>
      <c r="C56" s="16">
        <v>0.86</v>
      </c>
      <c r="J56" s="58">
        <f>J47+1</f>
        <v>2031</v>
      </c>
      <c r="K56" s="59" t="s">
        <v>171</v>
      </c>
    </row>
    <row r="57" spans="2:11" x14ac:dyDescent="0.15">
      <c r="B57" s="17" t="s">
        <v>98</v>
      </c>
      <c r="C57" s="16">
        <v>0.85</v>
      </c>
      <c r="J57" s="57" t="s">
        <v>146</v>
      </c>
      <c r="K57" s="57" t="s">
        <v>148</v>
      </c>
    </row>
    <row r="58" spans="2:11" x14ac:dyDescent="0.15">
      <c r="J58" s="18" t="str">
        <f>IF(計算シート!B16="","",IF(計算シート!B16&lt;4,J56-計算シート!A16+1,J56-計算シート!A16))</f>
        <v/>
      </c>
      <c r="K58" s="18" t="str">
        <f>IF(計算シート!C16="","",1-(VLOOKUP(計算シート!C16,データ!G4:H5,2,FALSE))*J58)</f>
        <v/>
      </c>
    </row>
    <row r="59" spans="2:11" x14ac:dyDescent="0.15">
      <c r="J59" s="18" t="s">
        <v>147</v>
      </c>
      <c r="K59" s="18" t="s">
        <v>173</v>
      </c>
    </row>
    <row r="60" spans="2:11" x14ac:dyDescent="0.15">
      <c r="J60" s="18" t="str">
        <f>IF(計算シート!B16="","",IF(計算シート!B16&lt;4,2004-計算シート!A16+1,2004-計算シート!A16))</f>
        <v/>
      </c>
      <c r="K60" s="34" t="str">
        <f>IF(計算シート!C16="","",1-(VLOOKUP(計算シート!C16,データ!G8:H9,2,FALSE))*J60)</f>
        <v/>
      </c>
    </row>
    <row r="61" spans="2:11" ht="14.25" thickBot="1" x14ac:dyDescent="0.2"/>
    <row r="62" spans="2:11" ht="14.25" thickBot="1" x14ac:dyDescent="0.2">
      <c r="J62" s="29" t="s">
        <v>149</v>
      </c>
    </row>
    <row r="63" spans="2:11" ht="14.25" thickBot="1" x14ac:dyDescent="0.2">
      <c r="J63" s="28" t="str">
        <f>IF(K58="","",IF(K60="","",MIN(データ!K58,データ!K60)))</f>
        <v/>
      </c>
    </row>
    <row r="64" spans="2:11" ht="14.25" thickBot="1" x14ac:dyDescent="0.2"/>
    <row r="65" spans="10:11" ht="14.25" thickBot="1" x14ac:dyDescent="0.2">
      <c r="J65" s="58">
        <f>J56+1</f>
        <v>2032</v>
      </c>
      <c r="K65" s="59" t="s">
        <v>171</v>
      </c>
    </row>
    <row r="66" spans="10:11" x14ac:dyDescent="0.15">
      <c r="J66" s="57" t="s">
        <v>146</v>
      </c>
      <c r="K66" s="57" t="s">
        <v>148</v>
      </c>
    </row>
    <row r="67" spans="10:11" x14ac:dyDescent="0.15">
      <c r="J67" s="18" t="str">
        <f>IF(計算シート!B16="","",IF(計算シート!B16&lt;4,J65-計算シート!A16+1,J65-計算シート!A16))</f>
        <v/>
      </c>
      <c r="K67" s="18" t="str">
        <f>IF(計算シート!C16="","",1-(VLOOKUP(計算シート!C16,データ!G4:H5,2,FALSE))*J67)</f>
        <v/>
      </c>
    </row>
    <row r="68" spans="10:11" x14ac:dyDescent="0.15">
      <c r="J68" s="18" t="s">
        <v>147</v>
      </c>
      <c r="K68" s="18" t="s">
        <v>173</v>
      </c>
    </row>
    <row r="69" spans="10:11" x14ac:dyDescent="0.15">
      <c r="J69" s="18" t="str">
        <f>IF(計算シート!B16="","",IF(計算シート!B16&lt;4,2004-計算シート!A16+1,2004-計算シート!A16))</f>
        <v/>
      </c>
      <c r="K69" s="34" t="str">
        <f>IF(計算シート!C16="","",1-(VLOOKUP(計算シート!C16,データ!G8:H9,2,FALSE))*J69)</f>
        <v/>
      </c>
    </row>
    <row r="70" spans="10:11" ht="14.25" thickBot="1" x14ac:dyDescent="0.2"/>
    <row r="71" spans="10:11" ht="14.25" thickBot="1" x14ac:dyDescent="0.2">
      <c r="J71" s="29" t="s">
        <v>149</v>
      </c>
    </row>
    <row r="72" spans="10:11" ht="14.25" thickBot="1" x14ac:dyDescent="0.2">
      <c r="J72" s="28" t="str">
        <f>IF(K67="","",IF(K69="","",MIN(データ!K67,データ!K69)))</f>
        <v/>
      </c>
    </row>
    <row r="73" spans="10:11" ht="14.25" thickBot="1" x14ac:dyDescent="0.2"/>
    <row r="74" spans="10:11" ht="14.25" thickBot="1" x14ac:dyDescent="0.2">
      <c r="J74" s="58">
        <f>J65+1</f>
        <v>2033</v>
      </c>
      <c r="K74" s="59" t="s">
        <v>171</v>
      </c>
    </row>
    <row r="75" spans="10:11" x14ac:dyDescent="0.15">
      <c r="J75" s="57" t="s">
        <v>146</v>
      </c>
      <c r="K75" s="57" t="s">
        <v>148</v>
      </c>
    </row>
    <row r="76" spans="10:11" x14ac:dyDescent="0.15">
      <c r="J76" s="18" t="str">
        <f>IF(計算シート!B16="","",IF(計算シート!B16&lt;4,J74-計算シート!A16+1,J74-計算シート!A16))</f>
        <v/>
      </c>
      <c r="K76" s="18" t="str">
        <f>IF(計算シート!C16="","",1-(VLOOKUP(計算シート!C16,データ!G4:H5,2,FALSE))*J76)</f>
        <v/>
      </c>
    </row>
    <row r="77" spans="10:11" x14ac:dyDescent="0.15">
      <c r="J77" s="18" t="s">
        <v>147</v>
      </c>
      <c r="K77" s="18" t="s">
        <v>173</v>
      </c>
    </row>
    <row r="78" spans="10:11" x14ac:dyDescent="0.15">
      <c r="J78" s="18" t="str">
        <f>IF(計算シート!B16="","",IF(計算シート!B16&lt;4,2004-計算シート!A16+1,2004-計算シート!A16))</f>
        <v/>
      </c>
      <c r="K78" s="34" t="str">
        <f>IF(計算シート!C16="","",1-(VLOOKUP(計算シート!C16,データ!G8:H9,2,FALSE))*J78)</f>
        <v/>
      </c>
    </row>
    <row r="79" spans="10:11" ht="14.25" thickBot="1" x14ac:dyDescent="0.2"/>
    <row r="80" spans="10:11" ht="14.25" thickBot="1" x14ac:dyDescent="0.2">
      <c r="J80" s="29" t="s">
        <v>149</v>
      </c>
    </row>
    <row r="81" spans="10:11" ht="14.25" thickBot="1" x14ac:dyDescent="0.2">
      <c r="J81" s="28" t="str">
        <f>IF(K76="","",IF(K78="","",MIN(データ!K76,データ!K78)))</f>
        <v/>
      </c>
    </row>
    <row r="82" spans="10:11" ht="14.25" thickBot="1" x14ac:dyDescent="0.2"/>
    <row r="83" spans="10:11" ht="14.25" thickBot="1" x14ac:dyDescent="0.2">
      <c r="J83" s="58">
        <f>J74+1</f>
        <v>2034</v>
      </c>
      <c r="K83" s="59" t="s">
        <v>171</v>
      </c>
    </row>
    <row r="84" spans="10:11" x14ac:dyDescent="0.15">
      <c r="J84" s="57" t="s">
        <v>146</v>
      </c>
      <c r="K84" s="57" t="s">
        <v>148</v>
      </c>
    </row>
    <row r="85" spans="10:11" x14ac:dyDescent="0.15">
      <c r="J85" s="18" t="str">
        <f>IF(計算シート!B16="","",IF(計算シート!B16&lt;4,J83-計算シート!A16+1,J83-計算シート!A16))</f>
        <v/>
      </c>
      <c r="K85" s="18" t="str">
        <f>IF(計算シート!C16="","",1-(VLOOKUP(計算シート!C16,データ!G4:H5,2,FALSE))*J85)</f>
        <v/>
      </c>
    </row>
    <row r="86" spans="10:11" x14ac:dyDescent="0.15">
      <c r="J86" s="18" t="s">
        <v>147</v>
      </c>
      <c r="K86" s="18" t="s">
        <v>173</v>
      </c>
    </row>
    <row r="87" spans="10:11" x14ac:dyDescent="0.15">
      <c r="J87" s="18" t="str">
        <f>IF(計算シート!B16="","",IF(計算シート!B16&lt;4,2004-計算シート!A16+1,2004-計算シート!A16))</f>
        <v/>
      </c>
      <c r="K87" s="34" t="str">
        <f>IF(計算シート!C16="","",1-(VLOOKUP(計算シート!C16,データ!G8:H9,2,FALSE))*J87)</f>
        <v/>
      </c>
    </row>
    <row r="88" spans="10:11" ht="14.25" thickBot="1" x14ac:dyDescent="0.2"/>
    <row r="89" spans="10:11" ht="14.25" thickBot="1" x14ac:dyDescent="0.2">
      <c r="J89" s="29" t="s">
        <v>149</v>
      </c>
    </row>
    <row r="90" spans="10:11" ht="14.25" thickBot="1" x14ac:dyDescent="0.2">
      <c r="J90" s="28" t="str">
        <f>IF(K85="","",IF(K87="","",MIN(データ!K85,データ!K87)))</f>
        <v/>
      </c>
    </row>
    <row r="91" spans="10:11" ht="14.25" thickBot="1" x14ac:dyDescent="0.2"/>
    <row r="92" spans="10:11" ht="14.25" thickBot="1" x14ac:dyDescent="0.2">
      <c r="J92" s="58">
        <f>J83+1</f>
        <v>2035</v>
      </c>
      <c r="K92" s="59" t="s">
        <v>171</v>
      </c>
    </row>
    <row r="93" spans="10:11" x14ac:dyDescent="0.15">
      <c r="J93" s="57" t="s">
        <v>146</v>
      </c>
      <c r="K93" s="57" t="s">
        <v>148</v>
      </c>
    </row>
    <row r="94" spans="10:11" x14ac:dyDescent="0.15">
      <c r="J94" s="18" t="str">
        <f>IF(計算シート!B16="","",IF(計算シート!B16&lt;4,J92-計算シート!A16+1,J92-計算シート!A16))</f>
        <v/>
      </c>
      <c r="K94" s="18" t="str">
        <f>IF(計算シート!C16="","",1-(VLOOKUP(計算シート!C16,データ!G4:H5,2,FALSE))*J94)</f>
        <v/>
      </c>
    </row>
    <row r="95" spans="10:11" x14ac:dyDescent="0.15">
      <c r="J95" s="18" t="s">
        <v>147</v>
      </c>
      <c r="K95" s="18" t="s">
        <v>173</v>
      </c>
    </row>
    <row r="96" spans="10:11" x14ac:dyDescent="0.15">
      <c r="J96" s="18" t="str">
        <f>IF(計算シート!B16="","",IF(計算シート!B16&lt;4,2004-計算シート!A16+1,2004-計算シート!A16))</f>
        <v/>
      </c>
      <c r="K96" s="34" t="str">
        <f>IF(計算シート!C16="","",1-(VLOOKUP(計算シート!C16,データ!G8:H9,2,FALSE))*J96)</f>
        <v/>
      </c>
    </row>
    <row r="97" spans="10:10" ht="14.25" thickBot="1" x14ac:dyDescent="0.2"/>
    <row r="98" spans="10:10" ht="14.25" thickBot="1" x14ac:dyDescent="0.2">
      <c r="J98" s="29" t="s">
        <v>149</v>
      </c>
    </row>
    <row r="99" spans="10:10" ht="14.25" thickBot="1" x14ac:dyDescent="0.2">
      <c r="J99" s="28" t="str">
        <f>IF(K94="","",IF(K96="","",MIN(データ!K94,データ!K96)))</f>
        <v/>
      </c>
    </row>
  </sheetData>
  <sheetProtection formatCells="0" formatColumns="0" formatRows="0" insertColumns="0" insertRows="0" insertHyperlinks="0" deleteColumns="0" deleteRows="0"/>
  <mergeCells count="14">
    <mergeCell ref="G7:H7"/>
    <mergeCell ref="G3:H3"/>
    <mergeCell ref="D41:E41"/>
    <mergeCell ref="D4:D9"/>
    <mergeCell ref="D22:D29"/>
    <mergeCell ref="D34:D38"/>
    <mergeCell ref="D12:E12"/>
    <mergeCell ref="D44:E44"/>
    <mergeCell ref="D47:E47"/>
    <mergeCell ref="D50:E50"/>
    <mergeCell ref="E22:E29"/>
    <mergeCell ref="F22:F29"/>
    <mergeCell ref="E34:E38"/>
    <mergeCell ref="F34:F38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O39"/>
  <sheetViews>
    <sheetView showGridLines="0" workbookViewId="0">
      <selection activeCell="C16" sqref="C16:C18"/>
    </sheetView>
  </sheetViews>
  <sheetFormatPr defaultRowHeight="13.5" x14ac:dyDescent="0.15"/>
  <cols>
    <col min="1" max="1" width="5.5" style="33" bestFit="1" customWidth="1"/>
    <col min="2" max="2" width="5.25" style="53" bestFit="1" customWidth="1"/>
    <col min="3" max="3" width="15.125" bestFit="1" customWidth="1"/>
    <col min="4" max="4" width="3.375" bestFit="1" customWidth="1"/>
    <col min="5" max="5" width="14.25" customWidth="1"/>
    <col min="6" max="6" width="3.375" bestFit="1" customWidth="1"/>
    <col min="8" max="8" width="3.375" bestFit="1" customWidth="1"/>
    <col min="9" max="9" width="13" bestFit="1" customWidth="1"/>
    <col min="10" max="10" width="3.375" bestFit="1" customWidth="1"/>
    <col min="11" max="11" width="11" bestFit="1" customWidth="1"/>
    <col min="12" max="12" width="3.375" bestFit="1" customWidth="1"/>
    <col min="13" max="13" width="13.625" customWidth="1"/>
    <col min="14" max="14" width="5.625" customWidth="1"/>
    <col min="16" max="16" width="53.875" bestFit="1" customWidth="1"/>
  </cols>
  <sheetData>
    <row r="2" spans="1:15" ht="18" customHeight="1" x14ac:dyDescent="0.15">
      <c r="C2" s="74">
        <f>計算シート!$D$7</f>
        <v>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ht="14.25" thickBot="1" x14ac:dyDescent="0.2"/>
    <row r="4" spans="1:15" s="56" customFormat="1" ht="30" customHeight="1" thickBot="1" x14ac:dyDescent="0.2">
      <c r="A4" s="98">
        <f>データ!$J$2</f>
        <v>2025</v>
      </c>
      <c r="B4" s="99" t="s">
        <v>172</v>
      </c>
      <c r="C4" s="42" t="s">
        <v>0</v>
      </c>
      <c r="D4" s="74" t="s">
        <v>142</v>
      </c>
      <c r="E4" s="43" t="s">
        <v>144</v>
      </c>
      <c r="F4" s="74" t="s">
        <v>142</v>
      </c>
      <c r="G4" s="43" t="s">
        <v>143</v>
      </c>
      <c r="H4" s="74" t="s">
        <v>142</v>
      </c>
      <c r="I4" s="43" t="s">
        <v>155</v>
      </c>
      <c r="J4" s="74" t="s">
        <v>142</v>
      </c>
      <c r="K4" s="43" t="s">
        <v>99</v>
      </c>
      <c r="L4" s="74" t="s">
        <v>141</v>
      </c>
      <c r="M4" s="96" t="s">
        <v>140</v>
      </c>
      <c r="N4" s="97"/>
      <c r="O4" s="53"/>
    </row>
    <row r="5" spans="1:15" ht="30" customHeight="1" thickBot="1" x14ac:dyDescent="0.2">
      <c r="A5" s="98"/>
      <c r="B5" s="99"/>
      <c r="C5" s="35">
        <v>34400</v>
      </c>
      <c r="D5" s="74"/>
      <c r="E5" s="36">
        <v>1.05</v>
      </c>
      <c r="F5" s="74"/>
      <c r="G5" s="36" t="str">
        <f>IF(計算シート!J16="","",ROUNDDOWN(計算シート!J16/65,4))</f>
        <v/>
      </c>
      <c r="H5" s="74"/>
      <c r="I5" s="36" t="str">
        <f>データ!J9</f>
        <v/>
      </c>
      <c r="J5" s="74"/>
      <c r="K5" s="36" t="str">
        <f>データ!E52</f>
        <v/>
      </c>
      <c r="L5" s="74"/>
      <c r="M5" s="38" t="str">
        <f>IF(G5="","",IF(K5="","",IF(I5="","",ROUNDDOWN(C5*E5*G5*I5*K5,-2))))</f>
        <v/>
      </c>
      <c r="N5" s="37" t="s">
        <v>152</v>
      </c>
    </row>
    <row r="6" spans="1:15" ht="14.25" thickBot="1" x14ac:dyDescent="0.2">
      <c r="M6" s="54"/>
    </row>
    <row r="7" spans="1:15" s="56" customFormat="1" ht="30" customHeight="1" thickBot="1" x14ac:dyDescent="0.2">
      <c r="A7" s="98">
        <f>データ!$J$11</f>
        <v>2026</v>
      </c>
      <c r="B7" s="99" t="s">
        <v>172</v>
      </c>
      <c r="C7" s="42" t="s">
        <v>0</v>
      </c>
      <c r="D7" s="74" t="s">
        <v>142</v>
      </c>
      <c r="E7" s="43" t="s">
        <v>144</v>
      </c>
      <c r="F7" s="74" t="s">
        <v>142</v>
      </c>
      <c r="G7" s="43" t="s">
        <v>143</v>
      </c>
      <c r="H7" s="74" t="s">
        <v>142</v>
      </c>
      <c r="I7" s="43" t="s">
        <v>155</v>
      </c>
      <c r="J7" s="74" t="s">
        <v>142</v>
      </c>
      <c r="K7" s="43" t="s">
        <v>99</v>
      </c>
      <c r="L7" s="74" t="s">
        <v>141</v>
      </c>
      <c r="M7" s="96" t="s">
        <v>140</v>
      </c>
      <c r="N7" s="97"/>
      <c r="O7" s="53"/>
    </row>
    <row r="8" spans="1:15" ht="30" customHeight="1" thickBot="1" x14ac:dyDescent="0.2">
      <c r="A8" s="98"/>
      <c r="B8" s="99"/>
      <c r="C8" s="35">
        <v>34400</v>
      </c>
      <c r="D8" s="74"/>
      <c r="E8" s="36">
        <v>1.05</v>
      </c>
      <c r="F8" s="74"/>
      <c r="G8" s="36" t="str">
        <f>IF(計算シート!J16="","",ROUNDDOWN(計算シート!J16/65,4))</f>
        <v/>
      </c>
      <c r="H8" s="74"/>
      <c r="I8" s="36" t="str">
        <f>データ!J18</f>
        <v/>
      </c>
      <c r="J8" s="74"/>
      <c r="K8" s="36" t="str">
        <f>データ!E52</f>
        <v/>
      </c>
      <c r="L8" s="74"/>
      <c r="M8" s="38" t="str">
        <f>IF(G8="","",IF(K8="","",IF(I8="","",ROUNDDOWN(C8*E8*G8*I8*K8,-2))))</f>
        <v/>
      </c>
      <c r="N8" s="37" t="s">
        <v>152</v>
      </c>
    </row>
    <row r="9" spans="1:15" ht="14.25" thickBot="1" x14ac:dyDescent="0.2"/>
    <row r="10" spans="1:15" s="56" customFormat="1" ht="30" customHeight="1" thickBot="1" x14ac:dyDescent="0.2">
      <c r="A10" s="98">
        <f>データ!$J$20</f>
        <v>2027</v>
      </c>
      <c r="B10" s="99" t="s">
        <v>172</v>
      </c>
      <c r="C10" s="42" t="s">
        <v>0</v>
      </c>
      <c r="D10" s="74" t="s">
        <v>142</v>
      </c>
      <c r="E10" s="43" t="s">
        <v>144</v>
      </c>
      <c r="F10" s="74" t="s">
        <v>142</v>
      </c>
      <c r="G10" s="43" t="s">
        <v>143</v>
      </c>
      <c r="H10" s="74" t="s">
        <v>142</v>
      </c>
      <c r="I10" s="43" t="s">
        <v>155</v>
      </c>
      <c r="J10" s="74" t="s">
        <v>142</v>
      </c>
      <c r="K10" s="43" t="s">
        <v>99</v>
      </c>
      <c r="L10" s="74" t="s">
        <v>141</v>
      </c>
      <c r="M10" s="96" t="s">
        <v>140</v>
      </c>
      <c r="N10" s="97"/>
      <c r="O10" s="53"/>
    </row>
    <row r="11" spans="1:15" ht="30" customHeight="1" thickBot="1" x14ac:dyDescent="0.2">
      <c r="A11" s="98"/>
      <c r="B11" s="99"/>
      <c r="C11" s="35">
        <v>34400</v>
      </c>
      <c r="D11" s="74"/>
      <c r="E11" s="36">
        <v>1.05</v>
      </c>
      <c r="F11" s="74"/>
      <c r="G11" s="36" t="str">
        <f>IF(計算シート!J16="","",ROUNDDOWN(計算シート!J16/65,4))</f>
        <v/>
      </c>
      <c r="H11" s="74"/>
      <c r="I11" s="36" t="str">
        <f>データ!J27</f>
        <v/>
      </c>
      <c r="J11" s="74"/>
      <c r="K11" s="36" t="str">
        <f>データ!E52</f>
        <v/>
      </c>
      <c r="L11" s="74"/>
      <c r="M11" s="38" t="str">
        <f>IF(G11="","",IF(K11="","",IF(I11="","",ROUNDDOWN(C11*E11*G11*I11*K11,-2))))</f>
        <v/>
      </c>
      <c r="N11" s="37" t="s">
        <v>152</v>
      </c>
    </row>
    <row r="12" spans="1:15" ht="14.25" thickBot="1" x14ac:dyDescent="0.2"/>
    <row r="13" spans="1:15" s="56" customFormat="1" ht="30" customHeight="1" thickBot="1" x14ac:dyDescent="0.2">
      <c r="A13" s="98">
        <f>データ!$J$29</f>
        <v>2028</v>
      </c>
      <c r="B13" s="99" t="s">
        <v>172</v>
      </c>
      <c r="C13" s="42" t="s">
        <v>0</v>
      </c>
      <c r="D13" s="74" t="s">
        <v>142</v>
      </c>
      <c r="E13" s="43" t="s">
        <v>144</v>
      </c>
      <c r="F13" s="74" t="s">
        <v>142</v>
      </c>
      <c r="G13" s="43" t="s">
        <v>143</v>
      </c>
      <c r="H13" s="74" t="s">
        <v>142</v>
      </c>
      <c r="I13" s="43" t="s">
        <v>155</v>
      </c>
      <c r="J13" s="74" t="s">
        <v>142</v>
      </c>
      <c r="K13" s="43" t="s">
        <v>99</v>
      </c>
      <c r="L13" s="74" t="s">
        <v>141</v>
      </c>
      <c r="M13" s="96" t="s">
        <v>140</v>
      </c>
      <c r="N13" s="97"/>
      <c r="O13" s="53"/>
    </row>
    <row r="14" spans="1:15" ht="30" customHeight="1" thickBot="1" x14ac:dyDescent="0.2">
      <c r="A14" s="98"/>
      <c r="B14" s="99"/>
      <c r="C14" s="35">
        <v>34400</v>
      </c>
      <c r="D14" s="74"/>
      <c r="E14" s="36">
        <v>1.05</v>
      </c>
      <c r="F14" s="74"/>
      <c r="G14" s="36" t="str">
        <f>IF(計算シート!J16="","",ROUNDDOWN(計算シート!J16/65,4))</f>
        <v/>
      </c>
      <c r="H14" s="74"/>
      <c r="I14" s="36" t="str">
        <f>データ!J36</f>
        <v/>
      </c>
      <c r="J14" s="74"/>
      <c r="K14" s="36" t="str">
        <f>データ!E52</f>
        <v/>
      </c>
      <c r="L14" s="74"/>
      <c r="M14" s="38" t="str">
        <f>IF(G14="","",IF(K14="","",IF(I14="","",ROUNDDOWN(C14*E14*G14*I14*K14,-2))))</f>
        <v/>
      </c>
      <c r="N14" s="37" t="s">
        <v>152</v>
      </c>
    </row>
    <row r="15" spans="1:15" ht="14.25" thickBot="1" x14ac:dyDescent="0.2"/>
    <row r="16" spans="1:15" s="56" customFormat="1" ht="30" customHeight="1" thickBot="1" x14ac:dyDescent="0.2">
      <c r="A16" s="98">
        <f>データ!$J$38</f>
        <v>2029</v>
      </c>
      <c r="B16" s="99" t="s">
        <v>172</v>
      </c>
      <c r="C16" s="42" t="s">
        <v>0</v>
      </c>
      <c r="D16" s="74" t="s">
        <v>142</v>
      </c>
      <c r="E16" s="43" t="s">
        <v>144</v>
      </c>
      <c r="F16" s="74" t="s">
        <v>142</v>
      </c>
      <c r="G16" s="43" t="s">
        <v>143</v>
      </c>
      <c r="H16" s="74" t="s">
        <v>142</v>
      </c>
      <c r="I16" s="43" t="s">
        <v>155</v>
      </c>
      <c r="J16" s="74" t="s">
        <v>142</v>
      </c>
      <c r="K16" s="43" t="s">
        <v>99</v>
      </c>
      <c r="L16" s="74" t="s">
        <v>141</v>
      </c>
      <c r="M16" s="96" t="s">
        <v>140</v>
      </c>
      <c r="N16" s="97"/>
      <c r="O16" s="53"/>
    </row>
    <row r="17" spans="1:15" ht="30" customHeight="1" thickBot="1" x14ac:dyDescent="0.2">
      <c r="A17" s="98"/>
      <c r="B17" s="99"/>
      <c r="C17" s="35">
        <v>34400</v>
      </c>
      <c r="D17" s="74"/>
      <c r="E17" s="36">
        <v>1.05</v>
      </c>
      <c r="F17" s="74"/>
      <c r="G17" s="36" t="str">
        <f>IF(計算シート!J16="","",ROUNDDOWN(計算シート!J16/65,4))</f>
        <v/>
      </c>
      <c r="H17" s="74"/>
      <c r="I17" s="36" t="str">
        <f>データ!J45</f>
        <v/>
      </c>
      <c r="J17" s="74"/>
      <c r="K17" s="36" t="str">
        <f>データ!E52</f>
        <v/>
      </c>
      <c r="L17" s="74"/>
      <c r="M17" s="38" t="str">
        <f>IF(G17="","",IF(K17="","",IF(I17="","",ROUNDDOWN(C17*E17*G17*I17*K17,-2))))</f>
        <v/>
      </c>
      <c r="N17" s="37" t="s">
        <v>152</v>
      </c>
    </row>
    <row r="18" spans="1:15" ht="14.25" thickBot="1" x14ac:dyDescent="0.2">
      <c r="M18" s="54"/>
    </row>
    <row r="19" spans="1:15" s="56" customFormat="1" ht="30" customHeight="1" thickBot="1" x14ac:dyDescent="0.2">
      <c r="A19" s="98">
        <f>データ!$J$47</f>
        <v>2030</v>
      </c>
      <c r="B19" s="99" t="s">
        <v>172</v>
      </c>
      <c r="C19" s="42" t="s">
        <v>0</v>
      </c>
      <c r="D19" s="74" t="s">
        <v>142</v>
      </c>
      <c r="E19" s="43" t="s">
        <v>144</v>
      </c>
      <c r="F19" s="74" t="s">
        <v>142</v>
      </c>
      <c r="G19" s="43" t="s">
        <v>143</v>
      </c>
      <c r="H19" s="74" t="s">
        <v>142</v>
      </c>
      <c r="I19" s="43" t="s">
        <v>155</v>
      </c>
      <c r="J19" s="74" t="s">
        <v>142</v>
      </c>
      <c r="K19" s="43" t="s">
        <v>99</v>
      </c>
      <c r="L19" s="74" t="s">
        <v>141</v>
      </c>
      <c r="M19" s="96" t="s">
        <v>140</v>
      </c>
      <c r="N19" s="97"/>
      <c r="O19" s="53"/>
    </row>
    <row r="20" spans="1:15" ht="30" customHeight="1" thickBot="1" x14ac:dyDescent="0.2">
      <c r="A20" s="98"/>
      <c r="B20" s="99"/>
      <c r="C20" s="35">
        <v>34400</v>
      </c>
      <c r="D20" s="74"/>
      <c r="E20" s="36">
        <v>1.05</v>
      </c>
      <c r="F20" s="74"/>
      <c r="G20" s="36" t="str">
        <f>IF(計算シート!J16="","",ROUNDDOWN(計算シート!J16/65,4))</f>
        <v/>
      </c>
      <c r="H20" s="74"/>
      <c r="I20" s="36" t="str">
        <f>データ!J54</f>
        <v/>
      </c>
      <c r="J20" s="74"/>
      <c r="K20" s="36" t="str">
        <f>データ!E52</f>
        <v/>
      </c>
      <c r="L20" s="74"/>
      <c r="M20" s="38" t="str">
        <f>IF(G20="","",IF(K20="","",IF(I20="","",ROUNDDOWN(C20*E20*G20*I20*K20,-2))))</f>
        <v/>
      </c>
      <c r="N20" s="37" t="s">
        <v>152</v>
      </c>
    </row>
    <row r="21" spans="1:15" ht="14.25" thickBot="1" x14ac:dyDescent="0.2"/>
    <row r="22" spans="1:15" s="56" customFormat="1" ht="30" customHeight="1" thickBot="1" x14ac:dyDescent="0.2">
      <c r="A22" s="98">
        <f>データ!$J$56</f>
        <v>2031</v>
      </c>
      <c r="B22" s="99" t="s">
        <v>172</v>
      </c>
      <c r="C22" s="42" t="s">
        <v>0</v>
      </c>
      <c r="D22" s="74" t="s">
        <v>142</v>
      </c>
      <c r="E22" s="43" t="s">
        <v>144</v>
      </c>
      <c r="F22" s="74" t="s">
        <v>142</v>
      </c>
      <c r="G22" s="43" t="s">
        <v>143</v>
      </c>
      <c r="H22" s="74" t="s">
        <v>142</v>
      </c>
      <c r="I22" s="43" t="s">
        <v>155</v>
      </c>
      <c r="J22" s="74" t="s">
        <v>142</v>
      </c>
      <c r="K22" s="43" t="s">
        <v>99</v>
      </c>
      <c r="L22" s="74" t="s">
        <v>141</v>
      </c>
      <c r="M22" s="96" t="s">
        <v>140</v>
      </c>
      <c r="N22" s="97"/>
      <c r="O22" s="53"/>
    </row>
    <row r="23" spans="1:15" ht="30" customHeight="1" thickBot="1" x14ac:dyDescent="0.2">
      <c r="A23" s="98"/>
      <c r="B23" s="99"/>
      <c r="C23" s="35">
        <v>34400</v>
      </c>
      <c r="D23" s="74"/>
      <c r="E23" s="36">
        <v>1.05</v>
      </c>
      <c r="F23" s="74"/>
      <c r="G23" s="36" t="str">
        <f>IF(計算シート!J16="","",ROUNDDOWN(計算シート!J16/65,4))</f>
        <v/>
      </c>
      <c r="H23" s="74"/>
      <c r="I23" s="36" t="str">
        <f>データ!J63</f>
        <v/>
      </c>
      <c r="J23" s="74"/>
      <c r="K23" s="36" t="str">
        <f>データ!E52</f>
        <v/>
      </c>
      <c r="L23" s="74"/>
      <c r="M23" s="38" t="str">
        <f>IF(G23="","",IF(K23="","",IF(I23="","",ROUNDDOWN(C23*E23*G23*I23*K23,-2))))</f>
        <v/>
      </c>
      <c r="N23" s="37" t="s">
        <v>152</v>
      </c>
    </row>
    <row r="24" spans="1:15" ht="14.25" thickBot="1" x14ac:dyDescent="0.2"/>
    <row r="25" spans="1:15" s="56" customFormat="1" ht="30" customHeight="1" thickBot="1" x14ac:dyDescent="0.2">
      <c r="A25" s="98">
        <f>データ!$J$65</f>
        <v>2032</v>
      </c>
      <c r="B25" s="99" t="s">
        <v>172</v>
      </c>
      <c r="C25" s="42" t="s">
        <v>0</v>
      </c>
      <c r="D25" s="74" t="s">
        <v>142</v>
      </c>
      <c r="E25" s="43" t="s">
        <v>144</v>
      </c>
      <c r="F25" s="74" t="s">
        <v>142</v>
      </c>
      <c r="G25" s="43" t="s">
        <v>143</v>
      </c>
      <c r="H25" s="74" t="s">
        <v>142</v>
      </c>
      <c r="I25" s="43" t="s">
        <v>155</v>
      </c>
      <c r="J25" s="74" t="s">
        <v>142</v>
      </c>
      <c r="K25" s="43" t="s">
        <v>99</v>
      </c>
      <c r="L25" s="74" t="s">
        <v>141</v>
      </c>
      <c r="M25" s="96" t="s">
        <v>140</v>
      </c>
      <c r="N25" s="97"/>
      <c r="O25" s="53"/>
    </row>
    <row r="26" spans="1:15" ht="30" customHeight="1" thickBot="1" x14ac:dyDescent="0.2">
      <c r="A26" s="98"/>
      <c r="B26" s="99"/>
      <c r="C26" s="35">
        <v>34400</v>
      </c>
      <c r="D26" s="74"/>
      <c r="E26" s="36">
        <v>1.05</v>
      </c>
      <c r="F26" s="74"/>
      <c r="G26" s="36" t="str">
        <f>IF(計算シート!J16="","",ROUNDDOWN(計算シート!J16/65,4))</f>
        <v/>
      </c>
      <c r="H26" s="74"/>
      <c r="I26" s="36" t="str">
        <f>データ!J72</f>
        <v/>
      </c>
      <c r="J26" s="74"/>
      <c r="K26" s="36" t="str">
        <f>データ!E52</f>
        <v/>
      </c>
      <c r="L26" s="74"/>
      <c r="M26" s="38" t="str">
        <f>IF(G26="","",IF(K26="","",IF(I26="","",ROUNDDOWN(C26*E26*G26*I26*K26,-2))))</f>
        <v/>
      </c>
      <c r="N26" s="37" t="s">
        <v>152</v>
      </c>
    </row>
    <row r="27" spans="1:15" ht="14.25" thickBot="1" x14ac:dyDescent="0.2"/>
    <row r="28" spans="1:15" s="56" customFormat="1" ht="30" customHeight="1" thickBot="1" x14ac:dyDescent="0.2">
      <c r="A28" s="98">
        <f>データ!$J$74</f>
        <v>2033</v>
      </c>
      <c r="B28" s="99" t="s">
        <v>172</v>
      </c>
      <c r="C28" s="42" t="s">
        <v>0</v>
      </c>
      <c r="D28" s="74" t="s">
        <v>142</v>
      </c>
      <c r="E28" s="43" t="s">
        <v>144</v>
      </c>
      <c r="F28" s="74" t="s">
        <v>142</v>
      </c>
      <c r="G28" s="43" t="s">
        <v>143</v>
      </c>
      <c r="H28" s="74" t="s">
        <v>142</v>
      </c>
      <c r="I28" s="43" t="s">
        <v>155</v>
      </c>
      <c r="J28" s="74" t="s">
        <v>142</v>
      </c>
      <c r="K28" s="43" t="s">
        <v>99</v>
      </c>
      <c r="L28" s="74" t="s">
        <v>141</v>
      </c>
      <c r="M28" s="96" t="s">
        <v>140</v>
      </c>
      <c r="N28" s="97"/>
      <c r="O28" s="53"/>
    </row>
    <row r="29" spans="1:15" ht="30" customHeight="1" thickBot="1" x14ac:dyDescent="0.2">
      <c r="A29" s="98"/>
      <c r="B29" s="99"/>
      <c r="C29" s="35">
        <v>34400</v>
      </c>
      <c r="D29" s="74"/>
      <c r="E29" s="36">
        <v>1.05</v>
      </c>
      <c r="F29" s="74"/>
      <c r="G29" s="36" t="str">
        <f>IF(計算シート!J16="","",ROUNDDOWN(計算シート!J16/65,4))</f>
        <v/>
      </c>
      <c r="H29" s="74"/>
      <c r="I29" s="36" t="str">
        <f>データ!J81</f>
        <v/>
      </c>
      <c r="J29" s="74"/>
      <c r="K29" s="36" t="str">
        <f>データ!E52</f>
        <v/>
      </c>
      <c r="L29" s="74"/>
      <c r="M29" s="38" t="str">
        <f>IF(G29="","",IF(K29="","",IF(I29="","",ROUNDDOWN(C29*E29*G29*I29*K29,-2))))</f>
        <v/>
      </c>
      <c r="N29" s="37" t="s">
        <v>152</v>
      </c>
    </row>
    <row r="30" spans="1:15" ht="14.25" thickBot="1" x14ac:dyDescent="0.2"/>
    <row r="31" spans="1:15" s="56" customFormat="1" ht="30" customHeight="1" thickBot="1" x14ac:dyDescent="0.2">
      <c r="A31" s="98">
        <f>データ!J83</f>
        <v>2034</v>
      </c>
      <c r="B31" s="99" t="s">
        <v>172</v>
      </c>
      <c r="C31" s="42" t="s">
        <v>0</v>
      </c>
      <c r="D31" s="74" t="s">
        <v>142</v>
      </c>
      <c r="E31" s="43" t="s">
        <v>144</v>
      </c>
      <c r="F31" s="74" t="s">
        <v>142</v>
      </c>
      <c r="G31" s="43" t="s">
        <v>143</v>
      </c>
      <c r="H31" s="74" t="s">
        <v>142</v>
      </c>
      <c r="I31" s="43" t="s">
        <v>155</v>
      </c>
      <c r="J31" s="74" t="s">
        <v>142</v>
      </c>
      <c r="K31" s="43" t="s">
        <v>99</v>
      </c>
      <c r="L31" s="74" t="s">
        <v>141</v>
      </c>
      <c r="M31" s="96" t="s">
        <v>140</v>
      </c>
      <c r="N31" s="97"/>
      <c r="O31" s="53"/>
    </row>
    <row r="32" spans="1:15" ht="30" customHeight="1" thickBot="1" x14ac:dyDescent="0.2">
      <c r="A32" s="98"/>
      <c r="B32" s="99"/>
      <c r="C32" s="35">
        <v>34400</v>
      </c>
      <c r="D32" s="74"/>
      <c r="E32" s="36">
        <v>1.05</v>
      </c>
      <c r="F32" s="74"/>
      <c r="G32" s="36" t="str">
        <f>IF(計算シート!J16="","",ROUNDDOWN(計算シート!J16/65,4))</f>
        <v/>
      </c>
      <c r="H32" s="74"/>
      <c r="I32" s="36" t="str">
        <f>データ!J90</f>
        <v/>
      </c>
      <c r="J32" s="74"/>
      <c r="K32" s="36" t="str">
        <f>データ!E52</f>
        <v/>
      </c>
      <c r="L32" s="74"/>
      <c r="M32" s="38" t="str">
        <f>IF(G32="","",IF(K32="","",IF(I32="","",ROUNDDOWN(C32*E32*G32*I32*K32,-2))))</f>
        <v/>
      </c>
      <c r="N32" s="37" t="s">
        <v>152</v>
      </c>
    </row>
    <row r="33" spans="1:15" ht="18" thickBot="1" x14ac:dyDescent="0.2">
      <c r="C33" s="63"/>
      <c r="D33" s="56"/>
      <c r="E33" s="64"/>
      <c r="F33" s="56"/>
      <c r="G33" s="64"/>
      <c r="H33" s="56"/>
      <c r="I33" s="64"/>
      <c r="J33" s="56"/>
      <c r="K33" s="64"/>
      <c r="L33" s="56"/>
      <c r="M33" s="65"/>
      <c r="N33" s="66"/>
    </row>
    <row r="34" spans="1:15" s="56" customFormat="1" ht="30" customHeight="1" thickBot="1" x14ac:dyDescent="0.2">
      <c r="A34" s="98">
        <f>データ!J92</f>
        <v>2035</v>
      </c>
      <c r="B34" s="99" t="s">
        <v>172</v>
      </c>
      <c r="C34" s="42" t="s">
        <v>0</v>
      </c>
      <c r="D34" s="74" t="s">
        <v>142</v>
      </c>
      <c r="E34" s="43" t="s">
        <v>144</v>
      </c>
      <c r="F34" s="74" t="s">
        <v>142</v>
      </c>
      <c r="G34" s="43" t="s">
        <v>143</v>
      </c>
      <c r="H34" s="74" t="s">
        <v>142</v>
      </c>
      <c r="I34" s="43" t="s">
        <v>155</v>
      </c>
      <c r="J34" s="74" t="s">
        <v>142</v>
      </c>
      <c r="K34" s="43" t="s">
        <v>99</v>
      </c>
      <c r="L34" s="74" t="s">
        <v>141</v>
      </c>
      <c r="M34" s="96" t="s">
        <v>140</v>
      </c>
      <c r="N34" s="97"/>
      <c r="O34" s="53"/>
    </row>
    <row r="35" spans="1:15" ht="30" customHeight="1" thickBot="1" x14ac:dyDescent="0.2">
      <c r="A35" s="98"/>
      <c r="B35" s="99"/>
      <c r="C35" s="35">
        <v>34400</v>
      </c>
      <c r="D35" s="74"/>
      <c r="E35" s="36">
        <v>1.05</v>
      </c>
      <c r="F35" s="74"/>
      <c r="G35" s="36" t="str">
        <f>IF(計算シート!J16="","",ROUNDDOWN(計算シート!J16/65,4))</f>
        <v/>
      </c>
      <c r="H35" s="74"/>
      <c r="I35" s="36" t="str">
        <f>データ!J99</f>
        <v/>
      </c>
      <c r="J35" s="74"/>
      <c r="K35" s="36" t="str">
        <f>データ!E52</f>
        <v/>
      </c>
      <c r="L35" s="74"/>
      <c r="M35" s="38" t="str">
        <f>IF(G35="","",IF(K35="","",IF(I35="","",ROUNDDOWN(C35*E35*G35*I35*K35,-2))))</f>
        <v/>
      </c>
      <c r="N35" s="37" t="s">
        <v>152</v>
      </c>
    </row>
    <row r="36" spans="1:15" x14ac:dyDescent="0.15">
      <c r="K36" s="26"/>
    </row>
    <row r="37" spans="1:15" x14ac:dyDescent="0.15">
      <c r="K37" s="26"/>
    </row>
    <row r="38" spans="1:15" ht="26.25" hidden="1" customHeight="1" thickBot="1" x14ac:dyDescent="0.2">
      <c r="C38" s="100" t="str">
        <f>IF(M5="","","補助対象となる本来家賃は"&amp;TEXT(M5+40000,"#,###")&amp;"円までです。")</f>
        <v/>
      </c>
      <c r="D38" s="101"/>
      <c r="E38" s="101"/>
      <c r="F38" s="101"/>
      <c r="G38" s="101"/>
      <c r="H38" s="102"/>
    </row>
    <row r="39" spans="1:15" ht="13.5" customHeight="1" x14ac:dyDescent="0.15">
      <c r="C39" s="55"/>
      <c r="D39" s="55"/>
      <c r="E39" s="55"/>
      <c r="F39" s="55"/>
      <c r="G39" s="55"/>
      <c r="H39" s="55"/>
    </row>
  </sheetData>
  <sheetProtection formatCells="0" formatColumns="0" formatRows="0" insertColumns="0" insertRows="0" insertHyperlinks="0" deleteColumns="0" deleteRows="0" selectLockedCells="1" sort="0"/>
  <mergeCells count="90">
    <mergeCell ref="J34:J35"/>
    <mergeCell ref="L34:L35"/>
    <mergeCell ref="M34:N34"/>
    <mergeCell ref="A34:A35"/>
    <mergeCell ref="B34:B35"/>
    <mergeCell ref="D34:D35"/>
    <mergeCell ref="F34:F35"/>
    <mergeCell ref="H34:H35"/>
    <mergeCell ref="M10:N10"/>
    <mergeCell ref="L13:L14"/>
    <mergeCell ref="M13:N13"/>
    <mergeCell ref="J4:J5"/>
    <mergeCell ref="L4:L5"/>
    <mergeCell ref="M4:N4"/>
    <mergeCell ref="L7:L8"/>
    <mergeCell ref="M7:N7"/>
    <mergeCell ref="J10:J11"/>
    <mergeCell ref="J7:J8"/>
    <mergeCell ref="B4:B5"/>
    <mergeCell ref="D4:D5"/>
    <mergeCell ref="F4:F5"/>
    <mergeCell ref="H4:H5"/>
    <mergeCell ref="C38:H38"/>
    <mergeCell ref="B7:B8"/>
    <mergeCell ref="D7:D8"/>
    <mergeCell ref="F7:F8"/>
    <mergeCell ref="H7:H8"/>
    <mergeCell ref="M16:N16"/>
    <mergeCell ref="B19:B20"/>
    <mergeCell ref="D19:D20"/>
    <mergeCell ref="F19:F20"/>
    <mergeCell ref="H19:H20"/>
    <mergeCell ref="J19:J20"/>
    <mergeCell ref="L19:L20"/>
    <mergeCell ref="M19:N19"/>
    <mergeCell ref="B16:B17"/>
    <mergeCell ref="D16:D17"/>
    <mergeCell ref="F16:F17"/>
    <mergeCell ref="H16:H17"/>
    <mergeCell ref="J16:J17"/>
    <mergeCell ref="M22:N22"/>
    <mergeCell ref="B25:B26"/>
    <mergeCell ref="D25:D26"/>
    <mergeCell ref="F25:F26"/>
    <mergeCell ref="H25:H26"/>
    <mergeCell ref="J25:J26"/>
    <mergeCell ref="L25:L26"/>
    <mergeCell ref="M25:N25"/>
    <mergeCell ref="B22:B23"/>
    <mergeCell ref="D22:D23"/>
    <mergeCell ref="F22:F23"/>
    <mergeCell ref="H22:H23"/>
    <mergeCell ref="J22:J23"/>
    <mergeCell ref="M28:N28"/>
    <mergeCell ref="B28:B29"/>
    <mergeCell ref="D28:D29"/>
    <mergeCell ref="F28:F29"/>
    <mergeCell ref="H28:H29"/>
    <mergeCell ref="J28:J29"/>
    <mergeCell ref="A10:A11"/>
    <mergeCell ref="A13:A14"/>
    <mergeCell ref="L28:L29"/>
    <mergeCell ref="L22:L23"/>
    <mergeCell ref="L16:L17"/>
    <mergeCell ref="B13:B14"/>
    <mergeCell ref="D13:D14"/>
    <mergeCell ref="F13:F14"/>
    <mergeCell ref="H13:H14"/>
    <mergeCell ref="J13:J14"/>
    <mergeCell ref="B10:B11"/>
    <mergeCell ref="D10:D11"/>
    <mergeCell ref="F10:F11"/>
    <mergeCell ref="H10:H11"/>
    <mergeCell ref="L10:L11"/>
    <mergeCell ref="C2:N2"/>
    <mergeCell ref="J31:J32"/>
    <mergeCell ref="L31:L32"/>
    <mergeCell ref="M31:N31"/>
    <mergeCell ref="A31:A32"/>
    <mergeCell ref="B31:B32"/>
    <mergeCell ref="D31:D32"/>
    <mergeCell ref="F31:F32"/>
    <mergeCell ref="H31:H32"/>
    <mergeCell ref="A16:A17"/>
    <mergeCell ref="A19:A20"/>
    <mergeCell ref="A22:A23"/>
    <mergeCell ref="A25:A26"/>
    <mergeCell ref="A28:A29"/>
    <mergeCell ref="A4:A5"/>
    <mergeCell ref="A7:A8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O19"/>
  <sheetViews>
    <sheetView showGridLines="0" workbookViewId="0">
      <selection activeCell="M33" sqref="M33"/>
    </sheetView>
  </sheetViews>
  <sheetFormatPr defaultRowHeight="13.5" x14ac:dyDescent="0.15"/>
  <cols>
    <col min="1" max="1" width="5.5" style="33" bestFit="1" customWidth="1"/>
    <col min="2" max="2" width="5.25" style="53" bestFit="1" customWidth="1"/>
    <col min="3" max="3" width="15.125" bestFit="1" customWidth="1"/>
    <col min="4" max="4" width="3.375" bestFit="1" customWidth="1"/>
    <col min="5" max="5" width="14.25" customWidth="1"/>
    <col min="6" max="6" width="3.375" bestFit="1" customWidth="1"/>
    <col min="8" max="8" width="3.375" bestFit="1" customWidth="1"/>
    <col min="9" max="9" width="13" bestFit="1" customWidth="1"/>
    <col min="10" max="10" width="3.375" bestFit="1" customWidth="1"/>
    <col min="11" max="11" width="11" bestFit="1" customWidth="1"/>
    <col min="12" max="12" width="3.375" bestFit="1" customWidth="1"/>
    <col min="13" max="13" width="13.625" customWidth="1"/>
    <col min="14" max="14" width="5.625" customWidth="1"/>
    <col min="16" max="16" width="53.875" bestFit="1" customWidth="1"/>
  </cols>
  <sheetData>
    <row r="2" spans="1:15" ht="18" customHeight="1" x14ac:dyDescent="0.15">
      <c r="C2" s="74">
        <f>計算シート!$D$7</f>
        <v>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ht="14.25" thickBot="1" x14ac:dyDescent="0.2"/>
    <row r="4" spans="1:15" s="56" customFormat="1" ht="30" customHeight="1" thickBot="1" x14ac:dyDescent="0.2">
      <c r="A4" s="98"/>
      <c r="B4" s="99"/>
      <c r="C4" s="42" t="s">
        <v>0</v>
      </c>
      <c r="D4" s="74" t="s">
        <v>142</v>
      </c>
      <c r="E4" s="43" t="s">
        <v>144</v>
      </c>
      <c r="F4" s="74" t="s">
        <v>142</v>
      </c>
      <c r="G4" s="43" t="s">
        <v>143</v>
      </c>
      <c r="H4" s="74" t="s">
        <v>142</v>
      </c>
      <c r="I4" s="43" t="s">
        <v>155</v>
      </c>
      <c r="J4" s="74" t="s">
        <v>142</v>
      </c>
      <c r="K4" s="43" t="s">
        <v>99</v>
      </c>
      <c r="L4" s="74" t="s">
        <v>141</v>
      </c>
      <c r="M4" s="96" t="s">
        <v>140</v>
      </c>
      <c r="N4" s="97"/>
      <c r="O4" s="53"/>
    </row>
    <row r="5" spans="1:15" ht="30" customHeight="1" thickBot="1" x14ac:dyDescent="0.2">
      <c r="A5" s="98"/>
      <c r="B5" s="99"/>
      <c r="C5" s="35">
        <v>34400</v>
      </c>
      <c r="D5" s="74"/>
      <c r="E5" s="36">
        <v>1.05</v>
      </c>
      <c r="F5" s="74"/>
      <c r="G5" s="36" t="str">
        <f>IF(計算シート!J16="","",ROUNDDOWN(計算シート!J16/65,4))</f>
        <v/>
      </c>
      <c r="H5" s="74"/>
      <c r="I5" s="36" t="str">
        <f>データ!J9</f>
        <v/>
      </c>
      <c r="J5" s="74"/>
      <c r="K5" s="36" t="str">
        <f>データ!E52</f>
        <v/>
      </c>
      <c r="L5" s="74"/>
      <c r="M5" s="38" t="str">
        <f>IF(G5="","",IF(K5="","",IF(I5="","",ROUNDDOWN(C5*E5*G5*I5*K5,-2))))</f>
        <v/>
      </c>
      <c r="N5" s="37" t="s">
        <v>152</v>
      </c>
    </row>
    <row r="6" spans="1:15" ht="14.25" thickBot="1" x14ac:dyDescent="0.2">
      <c r="M6" s="54"/>
    </row>
    <row r="7" spans="1:15" s="56" customFormat="1" ht="30" customHeight="1" thickBot="1" x14ac:dyDescent="0.2">
      <c r="A7" s="98"/>
      <c r="B7" s="99"/>
      <c r="C7" s="42" t="s">
        <v>0</v>
      </c>
      <c r="D7" s="74" t="s">
        <v>142</v>
      </c>
      <c r="E7" s="43" t="s">
        <v>144</v>
      </c>
      <c r="F7" s="74" t="s">
        <v>142</v>
      </c>
      <c r="G7" s="43" t="s">
        <v>143</v>
      </c>
      <c r="H7" s="74" t="s">
        <v>142</v>
      </c>
      <c r="I7" s="43" t="s">
        <v>155</v>
      </c>
      <c r="J7" s="74" t="s">
        <v>142</v>
      </c>
      <c r="K7" s="43" t="s">
        <v>99</v>
      </c>
      <c r="L7" s="74" t="s">
        <v>141</v>
      </c>
      <c r="M7" s="96" t="s">
        <v>140</v>
      </c>
      <c r="N7" s="97"/>
      <c r="O7" s="53"/>
    </row>
    <row r="8" spans="1:15" ht="30" customHeight="1" thickBot="1" x14ac:dyDescent="0.2">
      <c r="A8" s="98"/>
      <c r="B8" s="99"/>
      <c r="C8" s="35">
        <v>39700</v>
      </c>
      <c r="D8" s="74"/>
      <c r="E8" s="36">
        <v>1.05</v>
      </c>
      <c r="F8" s="74"/>
      <c r="G8" s="36" t="str">
        <f>IF(計算シート!J16="","",ROUNDDOWN(計算シート!J16/65,4))</f>
        <v/>
      </c>
      <c r="H8" s="74"/>
      <c r="I8" s="36" t="str">
        <f>データ!J9</f>
        <v/>
      </c>
      <c r="J8" s="74"/>
      <c r="K8" s="36" t="str">
        <f>データ!E52</f>
        <v/>
      </c>
      <c r="L8" s="74"/>
      <c r="M8" s="38" t="str">
        <f>IF(G8="","",IF(K8="","",IF(I8="","",ROUNDDOWN(C8*E8*G8*I8*K8,-2))))</f>
        <v/>
      </c>
      <c r="N8" s="37" t="s">
        <v>152</v>
      </c>
    </row>
    <row r="9" spans="1:15" ht="14.25" thickBot="1" x14ac:dyDescent="0.2"/>
    <row r="10" spans="1:15" s="56" customFormat="1" ht="30" customHeight="1" thickBot="1" x14ac:dyDescent="0.2">
      <c r="A10" s="98"/>
      <c r="B10" s="99"/>
      <c r="C10" s="42" t="s">
        <v>0</v>
      </c>
      <c r="D10" s="74" t="s">
        <v>142</v>
      </c>
      <c r="E10" s="43" t="s">
        <v>144</v>
      </c>
      <c r="F10" s="74" t="s">
        <v>142</v>
      </c>
      <c r="G10" s="43" t="s">
        <v>143</v>
      </c>
      <c r="H10" s="74" t="s">
        <v>142</v>
      </c>
      <c r="I10" s="43" t="s">
        <v>155</v>
      </c>
      <c r="J10" s="74" t="s">
        <v>142</v>
      </c>
      <c r="K10" s="43" t="s">
        <v>99</v>
      </c>
      <c r="L10" s="74" t="s">
        <v>141</v>
      </c>
      <c r="M10" s="96" t="s">
        <v>140</v>
      </c>
      <c r="N10" s="97"/>
      <c r="O10" s="53"/>
    </row>
    <row r="11" spans="1:15" ht="30" customHeight="1" thickBot="1" x14ac:dyDescent="0.2">
      <c r="A11" s="98"/>
      <c r="B11" s="99"/>
      <c r="C11" s="35">
        <v>45400</v>
      </c>
      <c r="D11" s="74"/>
      <c r="E11" s="36">
        <v>1.05</v>
      </c>
      <c r="F11" s="74"/>
      <c r="G11" s="36" t="str">
        <f>IF(計算シート!J16="","",ROUNDDOWN(計算シート!J16/65,4))</f>
        <v/>
      </c>
      <c r="H11" s="74"/>
      <c r="I11" s="36" t="str">
        <f>データ!J9</f>
        <v/>
      </c>
      <c r="J11" s="74"/>
      <c r="K11" s="36" t="str">
        <f>データ!E52</f>
        <v/>
      </c>
      <c r="L11" s="74"/>
      <c r="M11" s="38" t="str">
        <f>IF(G11="","",IF(K11="","",IF(I11="","",ROUNDDOWN(C11*E11*G11*I11*K11,-2))))</f>
        <v/>
      </c>
      <c r="N11" s="37" t="s">
        <v>152</v>
      </c>
    </row>
    <row r="12" spans="1:15" ht="14.25" thickBot="1" x14ac:dyDescent="0.2"/>
    <row r="13" spans="1:15" s="56" customFormat="1" ht="30" customHeight="1" thickBot="1" x14ac:dyDescent="0.2">
      <c r="A13" s="98"/>
      <c r="B13" s="99"/>
      <c r="C13" s="42" t="s">
        <v>0</v>
      </c>
      <c r="D13" s="74" t="s">
        <v>142</v>
      </c>
      <c r="E13" s="43" t="s">
        <v>144</v>
      </c>
      <c r="F13" s="74" t="s">
        <v>142</v>
      </c>
      <c r="G13" s="43" t="s">
        <v>143</v>
      </c>
      <c r="H13" s="74" t="s">
        <v>142</v>
      </c>
      <c r="I13" s="43" t="s">
        <v>155</v>
      </c>
      <c r="J13" s="74" t="s">
        <v>142</v>
      </c>
      <c r="K13" s="43" t="s">
        <v>99</v>
      </c>
      <c r="L13" s="74" t="s">
        <v>141</v>
      </c>
      <c r="M13" s="96" t="s">
        <v>140</v>
      </c>
      <c r="N13" s="97"/>
      <c r="O13" s="53"/>
    </row>
    <row r="14" spans="1:15" ht="30" customHeight="1" thickBot="1" x14ac:dyDescent="0.2">
      <c r="A14" s="98"/>
      <c r="B14" s="99"/>
      <c r="C14" s="35">
        <v>51200</v>
      </c>
      <c r="D14" s="74"/>
      <c r="E14" s="36">
        <v>1.05</v>
      </c>
      <c r="F14" s="74"/>
      <c r="G14" s="36" t="str">
        <f>IF(計算シート!J16="","",ROUNDDOWN(計算シート!J16/65,4))</f>
        <v/>
      </c>
      <c r="H14" s="74"/>
      <c r="I14" s="36" t="str">
        <f>データ!J9</f>
        <v/>
      </c>
      <c r="J14" s="74"/>
      <c r="K14" s="36" t="str">
        <f>データ!E52</f>
        <v/>
      </c>
      <c r="L14" s="74"/>
      <c r="M14" s="38" t="str">
        <f>IF(G14="","",IF(K14="","",IF(I14="","",ROUNDDOWN(C14*E14*G14*I14*K14,-2))))</f>
        <v/>
      </c>
      <c r="N14" s="37" t="s">
        <v>152</v>
      </c>
    </row>
    <row r="16" spans="1:15" x14ac:dyDescent="0.15">
      <c r="K16" s="26"/>
    </row>
    <row r="17" spans="3:11" x14ac:dyDescent="0.15">
      <c r="K17" s="26"/>
    </row>
    <row r="18" spans="3:11" ht="26.25" hidden="1" customHeight="1" thickBot="1" x14ac:dyDescent="0.2">
      <c r="C18" s="100" t="str">
        <f>IF(M5="","","補助対象となる本来家賃は"&amp;TEXT(M5+40000,"#,###")&amp;"円までです。")</f>
        <v/>
      </c>
      <c r="D18" s="101"/>
      <c r="E18" s="101"/>
      <c r="F18" s="101"/>
      <c r="G18" s="101"/>
      <c r="H18" s="102"/>
    </row>
    <row r="19" spans="3:11" ht="13.5" customHeight="1" x14ac:dyDescent="0.15">
      <c r="C19" s="55"/>
      <c r="D19" s="55"/>
      <c r="E19" s="55"/>
      <c r="F19" s="55"/>
      <c r="G19" s="55"/>
      <c r="H19" s="55"/>
    </row>
  </sheetData>
  <sheetProtection formatCells="0" formatColumns="0" formatRows="0" insertColumns="0" insertRows="0" insertHyperlinks="0" deleteColumns="0" deleteRows="0" selectLockedCells="1" sort="0"/>
  <mergeCells count="34">
    <mergeCell ref="M7:N7"/>
    <mergeCell ref="A4:A5"/>
    <mergeCell ref="B4:B5"/>
    <mergeCell ref="D4:D5"/>
    <mergeCell ref="F4:F5"/>
    <mergeCell ref="A7:A8"/>
    <mergeCell ref="B7:B8"/>
    <mergeCell ref="D7:D8"/>
    <mergeCell ref="F7:F8"/>
    <mergeCell ref="H7:H8"/>
    <mergeCell ref="H13:H14"/>
    <mergeCell ref="H4:H5"/>
    <mergeCell ref="J4:J5"/>
    <mergeCell ref="C18:H18"/>
    <mergeCell ref="C2:N2"/>
    <mergeCell ref="L10:L11"/>
    <mergeCell ref="M10:N10"/>
    <mergeCell ref="J13:J14"/>
    <mergeCell ref="L13:L14"/>
    <mergeCell ref="M13:N13"/>
    <mergeCell ref="H10:H11"/>
    <mergeCell ref="J10:J11"/>
    <mergeCell ref="L4:L5"/>
    <mergeCell ref="M4:N4"/>
    <mergeCell ref="J7:J8"/>
    <mergeCell ref="L7:L8"/>
    <mergeCell ref="A10:A11"/>
    <mergeCell ref="B10:B11"/>
    <mergeCell ref="D10:D11"/>
    <mergeCell ref="F10:F11"/>
    <mergeCell ref="A13:A14"/>
    <mergeCell ref="B13:B14"/>
    <mergeCell ref="D13:D14"/>
    <mergeCell ref="F13:F14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計算シート</vt:lpstr>
      <vt:lpstr>乗客人数</vt:lpstr>
      <vt:lpstr>データ</vt:lpstr>
      <vt:lpstr>計算結果</vt:lpstr>
      <vt:lpstr>計算結果 (2)</vt:lpstr>
      <vt:lpstr>JR</vt:lpstr>
      <vt:lpstr>計算シート!Print_Area</vt:lpstr>
      <vt:lpstr>計算結果!Print_Area</vt:lpstr>
      <vt:lpstr>'計算結果 (2)'!Print_Area</vt:lpstr>
      <vt:lpstr>バス停距離</vt:lpstr>
      <vt:lpstr>駅までの交通手段・距離</vt:lpstr>
      <vt:lpstr>京王線</vt:lpstr>
      <vt:lpstr>小田急</vt:lpstr>
      <vt:lpstr>多摩モノレール</vt:lpstr>
      <vt:lpstr>路線名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三澤　悟史</dc:creator>
  <cp:lastModifiedBy>伊藤　実香</cp:lastModifiedBy>
  <cp:lastPrinted>2021-07-20T06:22:52Z</cp:lastPrinted>
  <dcterms:created xsi:type="dcterms:W3CDTF">2018-04-11T08:41:07Z</dcterms:created>
  <dcterms:modified xsi:type="dcterms:W3CDTF">2025-10-16T06:07:28Z</dcterms:modified>
</cp:coreProperties>
</file>